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9300" tabRatio="941" activeTab="0"/>
  </bookViews>
  <sheets>
    <sheet name="Intro" sheetId="1" r:id="rId1"/>
    <sheet name="Aboveground C - Plots 地上生物量" sheetId="2" r:id="rId2"/>
    <sheet name=" Soil C - Plots  土壤生物量" sheetId="3" r:id="rId3"/>
    <sheet name="Unit Costs 费用" sheetId="4" r:id="rId4"/>
    <sheet name="Cost w. establishment 测量费用" sheetId="5" r:id="rId5"/>
    <sheet name="Cost wout. establishment测量费用" sheetId="6" r:id="rId6"/>
  </sheets>
  <definedNames>
    <definedName name="_xlnm.Print_Area" localSheetId="2">' Soil C - Plots  土壤生物量'!$A$1:$P$56</definedName>
    <definedName name="_xlnm.Print_Area" localSheetId="1">'Aboveground C - Plots 地上生物量'!$A$1:$P$56</definedName>
  </definedNames>
  <calcPr fullCalcOnLoad="1"/>
</workbook>
</file>

<file path=xl/comments2.xml><?xml version="1.0" encoding="utf-8"?>
<comments xmlns="http://schemas.openxmlformats.org/spreadsheetml/2006/main">
  <authors>
    <author>Sarah Walker</author>
    <author>Valued Sony Customer</author>
  </authors>
  <commentList>
    <comment ref="G12" authorId="0">
      <text>
        <r>
          <rPr>
            <sz val="10"/>
            <rFont val="Tahoma"/>
            <family val="2"/>
          </rPr>
          <t>If no cost information exists, then leave  Ch =1</t>
        </r>
      </text>
    </comment>
    <comment ref="A7" authorId="1">
      <text>
        <r>
          <rPr>
            <b/>
            <sz val="10"/>
            <rFont val="Arial"/>
            <family val="2"/>
          </rPr>
          <t>Allowable entries are 99, 95 or 90 percent.</t>
        </r>
      </text>
    </comment>
  </commentList>
</comments>
</file>

<file path=xl/comments3.xml><?xml version="1.0" encoding="utf-8"?>
<comments xmlns="http://schemas.openxmlformats.org/spreadsheetml/2006/main">
  <authors>
    <author>Sarah Walker</author>
    <author>Valued Sony Customer</author>
  </authors>
  <commentList>
    <comment ref="G12" authorId="0">
      <text>
        <r>
          <rPr>
            <sz val="10"/>
            <rFont val="Tahoma"/>
            <family val="2"/>
          </rPr>
          <t>If no cost information exists, then leave  Ch =1</t>
        </r>
      </text>
    </comment>
    <comment ref="A7" authorId="1">
      <text>
        <r>
          <rPr>
            <b/>
            <sz val="10"/>
            <rFont val="Arial"/>
            <family val="2"/>
          </rPr>
          <t>Allowable entries are 99, 95 or 90 percent.</t>
        </r>
      </text>
    </comment>
  </commentList>
</comments>
</file>

<file path=xl/comments4.xml><?xml version="1.0" encoding="utf-8"?>
<comments xmlns="http://schemas.openxmlformats.org/spreadsheetml/2006/main">
  <authors>
    <author>Valued Sony Customer</author>
    <author>Sian Mooney</author>
  </authors>
  <commentList>
    <comment ref="A6" authorId="0">
      <text>
        <r>
          <rPr>
            <sz val="8"/>
            <rFont val="Tahoma"/>
            <family val="2"/>
          </rPr>
          <t>Fixed costs: these do not vary with sample size; that is, they are fixed for a given project.</t>
        </r>
      </text>
    </comment>
    <comment ref="A11" authorId="0">
      <text>
        <r>
          <rPr>
            <sz val="8"/>
            <rFont val="Tahoma"/>
            <family val="2"/>
          </rPr>
          <t>Variable costs: these costs vary with sample size for a given project.</t>
        </r>
      </text>
    </comment>
    <comment ref="A7" authorId="0">
      <text>
        <r>
          <rPr>
            <sz val="8"/>
            <rFont val="Tahoma"/>
            <family val="2"/>
          </rPr>
          <t>Total cost of airfare, and/or ground transportation for entire crew to travel from "base"location to project location.</t>
        </r>
      </text>
    </comment>
    <comment ref="A17" authorId="0">
      <text>
        <r>
          <rPr>
            <sz val="8"/>
            <rFont val="Tahoma"/>
            <family val="2"/>
          </rPr>
          <t>If sample crew members share a hotel room, allocate half the nightly cost to each crew member.</t>
        </r>
      </text>
    </comment>
    <comment ref="A23" authorId="0">
      <text>
        <r>
          <rPr>
            <sz val="8"/>
            <rFont val="Tahoma"/>
            <family val="2"/>
          </rPr>
          <t>Total living expenses = total accommodation + total per diem.</t>
        </r>
      </text>
    </comment>
    <comment ref="A15" authorId="0">
      <text>
        <r>
          <rPr>
            <sz val="8"/>
            <rFont val="Tahoma"/>
            <family val="2"/>
          </rPr>
          <t>Total labor cost/hour = hourly rate of crew manager + hourly rate of second crew member.</t>
        </r>
      </text>
    </comment>
    <comment ref="A25" authorId="0">
      <text>
        <r>
          <rPr>
            <sz val="8"/>
            <rFont val="Tahoma"/>
            <family val="2"/>
          </rPr>
          <t>Use an approximate rental/hire rate. This is assumed to include depreciation, maintenance and all other use costs.</t>
        </r>
      </text>
    </comment>
    <comment ref="A26" authorId="0">
      <text>
        <r>
          <rPr>
            <sz val="8"/>
            <rFont val="Tahoma"/>
            <family val="2"/>
          </rPr>
          <t>Use an approximate rental/hire rate. This is assumed to include depreciation, maintenance and all other use costs.</t>
        </r>
      </text>
    </comment>
    <comment ref="A27" authorId="0">
      <text>
        <r>
          <rPr>
            <sz val="8"/>
            <rFont val="Tahoma"/>
            <family val="2"/>
          </rPr>
          <t>Phone/walkie talkie - other communication equipment.</t>
        </r>
      </text>
    </comment>
    <comment ref="A28" authorId="0">
      <text>
        <r>
          <rPr>
            <sz val="8"/>
            <rFont val="Tahoma"/>
            <family val="2"/>
          </rPr>
          <t>Use an approximate rental/hire rate. This is assumed to include depreciation, maintenance and all other use costs.</t>
        </r>
      </text>
    </comment>
    <comment ref="A29" authorId="0">
      <text>
        <r>
          <rPr>
            <sz val="8"/>
            <rFont val="Tahoma"/>
            <family val="2"/>
          </rPr>
          <t>Use an approximate rental/hire rate. This is assumed to include depreciation, maintenance and all other use costs.</t>
        </r>
      </text>
    </comment>
    <comment ref="A33" authorId="0">
      <text>
        <r>
          <rPr>
            <sz val="8"/>
            <rFont val="Tahoma"/>
            <family val="2"/>
          </rPr>
          <t xml:space="preserve">Include cost of oll materials used for any samples taken on each plot, for example cost of rebar, PVC pipe, Tyvek bags and tree tags. </t>
        </r>
      </text>
    </comment>
    <comment ref="A37" authorId="0">
      <text>
        <r>
          <rPr>
            <sz val="8"/>
            <rFont val="Tahoma"/>
            <family val="2"/>
          </rPr>
          <t xml:space="preserve">Cost of soil carbon analysis per plot. </t>
        </r>
        <r>
          <rPr>
            <b/>
            <sz val="8"/>
            <rFont val="Tahoma"/>
            <family val="2"/>
          </rPr>
          <t>This variable equals zero if only above ground biomass is measured.</t>
        </r>
      </text>
    </comment>
    <comment ref="A38" authorId="0">
      <text>
        <r>
          <rPr>
            <sz val="8"/>
            <rFont val="Tahoma"/>
            <family val="2"/>
          </rPr>
          <t xml:space="preserve">Per sample estimate of $1.50. </t>
        </r>
      </text>
    </comment>
    <comment ref="A39" authorId="0">
      <text>
        <r>
          <rPr>
            <sz val="8"/>
            <rFont val="Tahoma"/>
            <family val="2"/>
          </rPr>
          <t>Per sample estmate of $2.00.</t>
        </r>
      </text>
    </comment>
    <comment ref="A40" authorId="0">
      <text>
        <r>
          <rPr>
            <sz val="8"/>
            <rFont val="Tahoma"/>
            <family val="2"/>
          </rPr>
          <t>Estimate of $1.50 per sample.</t>
        </r>
      </text>
    </comment>
    <comment ref="A45" authorId="0">
      <text>
        <r>
          <rPr>
            <sz val="8"/>
            <rFont val="Tahoma"/>
            <family val="2"/>
          </rPr>
          <t>Sum of all previous "Analysis" costs.</t>
        </r>
      </text>
    </comment>
    <comment ref="A35" authorId="0">
      <text>
        <r>
          <rPr>
            <sz val="8"/>
            <rFont val="Tahoma"/>
            <family val="2"/>
          </rPr>
          <t>Sum of all previous "Supply" costs.</t>
        </r>
      </text>
    </comment>
    <comment ref="A31" authorId="0">
      <text>
        <r>
          <rPr>
            <sz val="8"/>
            <rFont val="Tahoma"/>
            <family val="2"/>
          </rPr>
          <t>Sum of all previous "Equipment" costs.</t>
        </r>
      </text>
    </comment>
    <comment ref="E36" authorId="0">
      <text>
        <r>
          <rPr>
            <sz val="8"/>
            <rFont val="Tahoma"/>
            <family val="2"/>
          </rPr>
          <t>Assumption: each crew member is paid for eight hours on travel days.</t>
        </r>
      </text>
    </comment>
    <comment ref="A4" authorId="0">
      <text>
        <r>
          <rPr>
            <b/>
            <sz val="8"/>
            <rFont val="Tahoma"/>
            <family val="2"/>
          </rPr>
          <t>Recommended value</t>
        </r>
        <r>
          <rPr>
            <sz val="8"/>
            <rFont val="Tahoma"/>
            <family val="2"/>
          </rPr>
          <t>: 10% for contiguous projects, 15% for non-contiguous. An additional cost factor is added to the project to account for unforseen risks such as losing samples, error in plot location, client unsatisfied with report among other factors. In geneal we expect that the risks associated with sampling plots in non-contigous areas are greater than the risks associated with sampling plots in contigous areas.</t>
        </r>
      </text>
    </comment>
    <comment ref="A8" authorId="0">
      <text>
        <r>
          <rPr>
            <sz val="8"/>
            <rFont val="Tahoma"/>
            <family val="2"/>
          </rPr>
          <t>Other fixed travel related costs.</t>
        </r>
      </text>
    </comment>
    <comment ref="E17" authorId="1">
      <text>
        <r>
          <rPr>
            <b/>
            <sz val="8"/>
            <rFont val="Tahoma"/>
            <family val="2"/>
          </rPr>
          <t>Total number of aboveground biomass plots * plot establishment time</t>
        </r>
      </text>
    </comment>
    <comment ref="E21" authorId="1">
      <text>
        <r>
          <rPr>
            <b/>
            <sz val="8"/>
            <rFont val="Tahoma"/>
            <family val="2"/>
          </rPr>
          <t>Enter expected number of work hours in a day</t>
        </r>
        <r>
          <rPr>
            <sz val="8"/>
            <rFont val="Tahoma"/>
            <family val="2"/>
          </rPr>
          <t xml:space="preserve">
</t>
        </r>
      </text>
    </comment>
    <comment ref="E13" authorId="1">
      <text>
        <r>
          <rPr>
            <b/>
            <sz val="8"/>
            <rFont val="Tahoma"/>
            <family val="2"/>
          </rPr>
          <t>Excludes plot establishment time.</t>
        </r>
      </text>
    </comment>
    <comment ref="E18" authorId="1">
      <text>
        <r>
          <rPr>
            <b/>
            <sz val="8"/>
            <rFont val="Tahoma"/>
            <family val="2"/>
          </rPr>
          <t>Plot establishment time + Total travel and sampling time for aboveground biomass + Total plot sample time for soil carbon.</t>
        </r>
      </text>
    </comment>
    <comment ref="F5" authorId="1">
      <text>
        <r>
          <rPr>
            <b/>
            <sz val="8"/>
            <rFont val="Tahoma"/>
            <family val="2"/>
          </rPr>
          <t>Average estimated time.</t>
        </r>
      </text>
    </comment>
    <comment ref="G5" authorId="1">
      <text>
        <r>
          <rPr>
            <b/>
            <sz val="8"/>
            <rFont val="Tahoma"/>
            <family val="2"/>
          </rPr>
          <t>Average estimated time +  one standard deviation</t>
        </r>
      </text>
    </comment>
    <comment ref="H5" authorId="1">
      <text>
        <r>
          <rPr>
            <b/>
            <sz val="8"/>
            <rFont val="Tahoma"/>
            <family val="2"/>
          </rPr>
          <t>Average estimated time - one standard deviation</t>
        </r>
      </text>
    </comment>
    <comment ref="A41" authorId="0">
      <text>
        <r>
          <rPr>
            <b/>
            <sz val="8"/>
            <rFont val="Tahoma"/>
            <family val="2"/>
          </rPr>
          <t>Sum of soil carbon and bulk density analyses and shipping costs.</t>
        </r>
      </text>
    </comment>
    <comment ref="A44" authorId="0">
      <text>
        <r>
          <rPr>
            <b/>
            <sz val="8"/>
            <rFont val="Tahoma"/>
            <family val="2"/>
          </rPr>
          <t>Sum of other and associated shipping.</t>
        </r>
      </text>
    </comment>
  </commentList>
</comments>
</file>

<file path=xl/comments5.xml><?xml version="1.0" encoding="utf-8"?>
<comments xmlns="http://schemas.openxmlformats.org/spreadsheetml/2006/main">
  <authors>
    <author>Valued Sony Customer</author>
  </authors>
  <commentList>
    <comment ref="A15" authorId="0">
      <text>
        <r>
          <rPr>
            <sz val="8"/>
            <rFont val="Tahoma"/>
            <family val="2"/>
          </rPr>
          <t>Total number of days for project minus 1 day (to account only for nights in hotel)</t>
        </r>
      </text>
    </comment>
    <comment ref="A30" authorId="0">
      <text>
        <r>
          <rPr>
            <sz val="8"/>
            <rFont val="Tahoma"/>
            <family val="2"/>
          </rPr>
          <t>We assume the truck and ATV use a total of 10 gallons of fuel a day. This is a simplifying assumption. If shorter days (thus more days) are used to complete the project sampling, fuel costs will rise. The distance between plots and number of plots will obviously remain constant but the amount of travel from the accommodation to the sites each day will increase.</t>
        </r>
      </text>
    </comment>
    <comment ref="A45" authorId="0">
      <text>
        <r>
          <rPr>
            <sz val="8"/>
            <rFont val="Tahoma"/>
            <family val="2"/>
          </rPr>
          <t xml:space="preserve">An additional cost factor is added to the project to account for unforseen risks such as losing samples, error in plot location, client unsatisfied with report among other factors. In geneal we expect that the risks associated with sampling plots n non-contigous areas are greater than the risks associated with sampling plots in contigous areas. </t>
        </r>
        <r>
          <rPr>
            <b/>
            <sz val="8"/>
            <rFont val="Tahoma"/>
            <family val="2"/>
          </rPr>
          <t>The risk factor was entered in the previous sheet "Unit Measurement Costs".</t>
        </r>
      </text>
    </comment>
  </commentList>
</comments>
</file>

<file path=xl/comments6.xml><?xml version="1.0" encoding="utf-8"?>
<comments xmlns="http://schemas.openxmlformats.org/spreadsheetml/2006/main">
  <authors>
    <author>Valued Sony Customer</author>
  </authors>
  <commentList>
    <comment ref="A15" authorId="0">
      <text>
        <r>
          <rPr>
            <sz val="8"/>
            <rFont val="Tahoma"/>
            <family val="2"/>
          </rPr>
          <t>Total number of days for project minus 1 day (to account only for nights in hotel)</t>
        </r>
      </text>
    </comment>
    <comment ref="A30" authorId="0">
      <text>
        <r>
          <rPr>
            <sz val="8"/>
            <rFont val="Tahoma"/>
            <family val="2"/>
          </rPr>
          <t>We assume the truck and ATV use a total of 10 gallons of fuel a day. This is a simplifying assumption. If shorter days (thus more days) are used to complete the project sampling, fuel costs will rise. The distance between plots and number of plots will obviously remain constant but the amount of travel from the accommodation to the sites each day will increase.</t>
        </r>
      </text>
    </comment>
    <comment ref="A45" authorId="0">
      <text>
        <r>
          <rPr>
            <sz val="8"/>
            <rFont val="Tahoma"/>
            <family val="2"/>
          </rPr>
          <t xml:space="preserve">An additional cost factor is added to the project to account for unforseen risks such as losing samples, error in plot location, client unsatisfied with report among other factors. In geneal we expect that the risks associated with sampling plots n non-contigous areas are greater than the risks associated with sampling plots in contigous areas. </t>
        </r>
        <r>
          <rPr>
            <b/>
            <sz val="8"/>
            <rFont val="Tahoma"/>
            <family val="2"/>
          </rPr>
          <t>The risk factor was entered in the previous sheet "Unit Measurement Costs".</t>
        </r>
      </text>
    </comment>
  </commentList>
</comments>
</file>

<file path=xl/sharedStrings.xml><?xml version="1.0" encoding="utf-8"?>
<sst xmlns="http://schemas.openxmlformats.org/spreadsheetml/2006/main" count="448" uniqueCount="227">
  <si>
    <t>$/hour</t>
  </si>
  <si>
    <t>$/day</t>
  </si>
  <si>
    <t>UNITS</t>
  </si>
  <si>
    <t>$/gallon</t>
  </si>
  <si>
    <t>$/plot</t>
  </si>
  <si>
    <t>$/Project</t>
  </si>
  <si>
    <t>TIME ESTIMATES</t>
  </si>
  <si>
    <t>minutes</t>
  </si>
  <si>
    <t>hours</t>
  </si>
  <si>
    <t>ESTIMATED LENGTH OF WORK DAY</t>
  </si>
  <si>
    <t>days</t>
  </si>
  <si>
    <t>ESTIMATED SAMPLING TIME PERIOD FOR PROJECT</t>
  </si>
  <si>
    <t>TRAVEL TIME TO PROJECT LOCATION</t>
  </si>
  <si>
    <t>Dollars</t>
  </si>
  <si>
    <t>plots</t>
  </si>
  <si>
    <t>Mean</t>
  </si>
  <si>
    <t>+1SD</t>
  </si>
  <si>
    <t>-1SD</t>
  </si>
  <si>
    <t>Rounded Plot Quantity</t>
  </si>
  <si>
    <t>Plot Quantity - Soil</t>
  </si>
  <si>
    <t>Cost Parameters - Fixed and Variable Costs</t>
  </si>
  <si>
    <t>Time to Complete Sample Tasks (Estimates)</t>
  </si>
  <si>
    <t>Travel time between plots</t>
  </si>
  <si>
    <t>Plot Establishment time</t>
  </si>
  <si>
    <t>Time spent at plot - Soil Carbon</t>
  </si>
  <si>
    <t>TOTAL TIME REQUIRED TO VISIT ALL PLOTS</t>
  </si>
  <si>
    <t>Time spent at plot - Aboveground biomass</t>
  </si>
  <si>
    <t>TOTAL WORK DAYS REQUIRED TO COMPLETE PROJECT</t>
  </si>
  <si>
    <t xml:space="preserve">Measurement Cost </t>
  </si>
  <si>
    <t>Measurement Cost</t>
  </si>
  <si>
    <t>(Includes cost of establishing the plots in first year)</t>
  </si>
  <si>
    <t>hectares</t>
  </si>
  <si>
    <t>Go To Next</t>
  </si>
  <si>
    <t>GoTo Next</t>
  </si>
  <si>
    <t>在绿色格子内输入数值，使用“Tab”或“Enter”键跳入下一个绿色格子</t>
  </si>
  <si>
    <r>
      <t>e - level of error (%)</t>
    </r>
    <r>
      <rPr>
        <sz val="10"/>
        <rFont val="Arial"/>
        <family val="2"/>
      </rPr>
      <t xml:space="preserve">  </t>
    </r>
    <r>
      <rPr>
        <sz val="10"/>
        <rFont val="宋体"/>
        <family val="0"/>
      </rPr>
      <t>误差水平</t>
    </r>
  </si>
  <si>
    <r>
      <t>Error (decimal)</t>
    </r>
    <r>
      <rPr>
        <sz val="10"/>
        <rFont val="Arial"/>
        <family val="2"/>
      </rPr>
      <t xml:space="preserve">   </t>
    </r>
    <r>
      <rPr>
        <sz val="10"/>
        <rFont val="宋体"/>
        <family val="0"/>
      </rPr>
      <t>误差（以小数形式表达）</t>
    </r>
  </si>
  <si>
    <r>
      <t>Z(1-a) - Confidence level</t>
    </r>
    <r>
      <rPr>
        <sz val="10"/>
        <rFont val="Arial"/>
        <family val="2"/>
      </rPr>
      <t xml:space="preserve">   </t>
    </r>
    <r>
      <rPr>
        <sz val="10"/>
        <rFont val="宋体"/>
        <family val="0"/>
      </rPr>
      <t>置信水平</t>
    </r>
  </si>
  <si>
    <r>
      <t>Sample statistic Z(1-a)</t>
    </r>
    <r>
      <rPr>
        <sz val="10"/>
        <rFont val="Arial"/>
        <family val="2"/>
      </rPr>
      <t xml:space="preserve">   </t>
    </r>
    <r>
      <rPr>
        <sz val="10"/>
        <rFont val="宋体"/>
        <family val="0"/>
      </rPr>
      <t>样本统计量</t>
    </r>
  </si>
  <si>
    <r>
      <t>Total project area size</t>
    </r>
    <r>
      <rPr>
        <sz val="10"/>
        <rFont val="Arial"/>
        <family val="2"/>
      </rPr>
      <t xml:space="preserve">    </t>
    </r>
    <r>
      <rPr>
        <sz val="10"/>
        <rFont val="宋体"/>
        <family val="0"/>
      </rPr>
      <t>项目区域总面积</t>
    </r>
  </si>
  <si>
    <r>
      <t>Strata 1</t>
    </r>
    <r>
      <rPr>
        <sz val="10"/>
        <rFont val="Arial"/>
        <family val="2"/>
      </rPr>
      <t xml:space="preserve">  </t>
    </r>
    <r>
      <rPr>
        <sz val="10"/>
        <rFont val="宋体"/>
        <family val="0"/>
      </rPr>
      <t>第一层</t>
    </r>
  </si>
  <si>
    <r>
      <t>Strata 2</t>
    </r>
    <r>
      <rPr>
        <sz val="10"/>
        <rFont val="Arial"/>
        <family val="2"/>
      </rPr>
      <t xml:space="preserve">  </t>
    </r>
    <r>
      <rPr>
        <sz val="10"/>
        <rFont val="宋体"/>
        <family val="0"/>
      </rPr>
      <t>第二层</t>
    </r>
  </si>
  <si>
    <r>
      <t>Strata 3</t>
    </r>
    <r>
      <rPr>
        <sz val="10"/>
        <rFont val="Arial"/>
        <family val="2"/>
      </rPr>
      <t xml:space="preserve">  </t>
    </r>
    <r>
      <rPr>
        <sz val="10"/>
        <rFont val="宋体"/>
        <family val="0"/>
      </rPr>
      <t>第三层</t>
    </r>
  </si>
  <si>
    <r>
      <t>Strata 4</t>
    </r>
    <r>
      <rPr>
        <sz val="10"/>
        <rFont val="Arial"/>
        <family val="2"/>
      </rPr>
      <t xml:space="preserve">  </t>
    </r>
    <r>
      <rPr>
        <sz val="10"/>
        <rFont val="宋体"/>
        <family val="0"/>
      </rPr>
      <t>第四层</t>
    </r>
  </si>
  <si>
    <r>
      <t>Strata 5</t>
    </r>
    <r>
      <rPr>
        <sz val="10"/>
        <rFont val="Arial"/>
        <family val="2"/>
      </rPr>
      <t xml:space="preserve">  </t>
    </r>
    <r>
      <rPr>
        <sz val="10"/>
        <rFont val="宋体"/>
        <family val="0"/>
      </rPr>
      <t>第五层</t>
    </r>
  </si>
  <si>
    <r>
      <t>Strata 6</t>
    </r>
    <r>
      <rPr>
        <sz val="10"/>
        <rFont val="Arial"/>
        <family val="2"/>
      </rPr>
      <t xml:space="preserve">  </t>
    </r>
    <r>
      <rPr>
        <sz val="10"/>
        <rFont val="宋体"/>
        <family val="0"/>
      </rPr>
      <t>第六层</t>
    </r>
  </si>
  <si>
    <r>
      <t>Strata 7</t>
    </r>
    <r>
      <rPr>
        <sz val="10"/>
        <rFont val="Arial"/>
        <family val="2"/>
      </rPr>
      <t xml:space="preserve">  </t>
    </r>
    <r>
      <rPr>
        <sz val="10"/>
        <rFont val="宋体"/>
        <family val="0"/>
      </rPr>
      <t>第七层</t>
    </r>
  </si>
  <si>
    <r>
      <t>Strata 8</t>
    </r>
    <r>
      <rPr>
        <sz val="10"/>
        <rFont val="Arial"/>
        <family val="2"/>
      </rPr>
      <t xml:space="preserve">  </t>
    </r>
    <r>
      <rPr>
        <sz val="10"/>
        <rFont val="宋体"/>
        <family val="0"/>
      </rPr>
      <t>第八层</t>
    </r>
  </si>
  <si>
    <r>
      <t>Strata 9</t>
    </r>
    <r>
      <rPr>
        <sz val="10"/>
        <rFont val="Arial"/>
        <family val="2"/>
      </rPr>
      <t xml:space="preserve">  </t>
    </r>
    <r>
      <rPr>
        <sz val="10"/>
        <rFont val="宋体"/>
        <family val="0"/>
      </rPr>
      <t>第九层</t>
    </r>
  </si>
  <si>
    <r>
      <t>Strata 10</t>
    </r>
    <r>
      <rPr>
        <sz val="10"/>
        <rFont val="Arial"/>
        <family val="2"/>
      </rPr>
      <t xml:space="preserve"> </t>
    </r>
    <r>
      <rPr>
        <sz val="10"/>
        <rFont val="宋体"/>
        <family val="0"/>
      </rPr>
      <t>第十层</t>
    </r>
  </si>
  <si>
    <r>
      <t xml:space="preserve">Strata Name   </t>
    </r>
    <r>
      <rPr>
        <sz val="10"/>
        <rFont val="宋体"/>
        <family val="0"/>
      </rPr>
      <t>层号</t>
    </r>
  </si>
  <si>
    <r>
      <t>Mean C/ha (tonnes)</t>
    </r>
    <r>
      <rPr>
        <sz val="10"/>
        <rFont val="Arial"/>
        <family val="2"/>
      </rPr>
      <t xml:space="preserve">  </t>
    </r>
    <r>
      <rPr>
        <sz val="10"/>
        <rFont val="宋体"/>
        <family val="0"/>
      </rPr>
      <t>平均碳量</t>
    </r>
    <r>
      <rPr>
        <sz val="10"/>
        <rFont val="Arial"/>
        <family val="2"/>
      </rPr>
      <t>/</t>
    </r>
    <r>
      <rPr>
        <sz val="10"/>
        <rFont val="宋体"/>
        <family val="0"/>
      </rPr>
      <t>公顷（吨）</t>
    </r>
  </si>
  <si>
    <r>
      <t>Variance (tonnes C/ha)</t>
    </r>
    <r>
      <rPr>
        <sz val="10"/>
        <rFont val="Arial"/>
        <family val="2"/>
      </rPr>
      <t xml:space="preserve">  </t>
    </r>
    <r>
      <rPr>
        <sz val="10"/>
        <rFont val="宋体"/>
        <family val="0"/>
      </rPr>
      <t>方差（吨碳</t>
    </r>
    <r>
      <rPr>
        <sz val="10"/>
        <rFont val="Arial"/>
        <family val="2"/>
      </rPr>
      <t>/</t>
    </r>
    <r>
      <rPr>
        <sz val="10"/>
        <rFont val="宋体"/>
        <family val="0"/>
      </rPr>
      <t>公顷）</t>
    </r>
  </si>
  <si>
    <t>费用－固定和可变费用</t>
  </si>
  <si>
    <r>
      <t xml:space="preserve">Single Sampling Event  </t>
    </r>
    <r>
      <rPr>
        <b/>
        <sz val="10"/>
        <rFont val="宋体"/>
        <family val="0"/>
      </rPr>
      <t>采样活动</t>
    </r>
  </si>
  <si>
    <r>
      <t>Assumed risk factor</t>
    </r>
    <r>
      <rPr>
        <sz val="10"/>
        <rFont val="Arial"/>
        <family val="2"/>
      </rPr>
      <t xml:space="preserve"> </t>
    </r>
    <r>
      <rPr>
        <sz val="10"/>
        <rFont val="宋体"/>
        <family val="0"/>
      </rPr>
      <t>假定的风险因子</t>
    </r>
  </si>
  <si>
    <r>
      <t>percent</t>
    </r>
    <r>
      <rPr>
        <sz val="10"/>
        <rFont val="Arial"/>
        <family val="2"/>
      </rPr>
      <t xml:space="preserve"> </t>
    </r>
    <r>
      <rPr>
        <sz val="10"/>
        <rFont val="宋体"/>
        <family val="0"/>
      </rPr>
      <t>百分数</t>
    </r>
  </si>
  <si>
    <r>
      <t xml:space="preserve">FIXED COSTS  </t>
    </r>
    <r>
      <rPr>
        <b/>
        <sz val="10"/>
        <rFont val="宋体"/>
        <family val="0"/>
      </rPr>
      <t>固定花费</t>
    </r>
  </si>
  <si>
    <r>
      <t>Cost ($)</t>
    </r>
    <r>
      <rPr>
        <b/>
        <sz val="10"/>
        <rFont val="Arial"/>
        <family val="2"/>
      </rPr>
      <t xml:space="preserve">  </t>
    </r>
    <r>
      <rPr>
        <b/>
        <sz val="10"/>
        <rFont val="宋体"/>
        <family val="0"/>
      </rPr>
      <t>花费</t>
    </r>
  </si>
  <si>
    <r>
      <t>UNITS</t>
    </r>
    <r>
      <rPr>
        <b/>
        <sz val="10"/>
        <rFont val="Arial"/>
        <family val="2"/>
      </rPr>
      <t xml:space="preserve">  </t>
    </r>
    <r>
      <rPr>
        <b/>
        <sz val="10"/>
        <rFont val="宋体"/>
        <family val="0"/>
      </rPr>
      <t>单位</t>
    </r>
  </si>
  <si>
    <r>
      <t xml:space="preserve">     Travel to sample area</t>
    </r>
    <r>
      <rPr>
        <sz val="10"/>
        <rFont val="Arial"/>
        <family val="2"/>
      </rPr>
      <t xml:space="preserve">  </t>
    </r>
    <r>
      <rPr>
        <sz val="10"/>
        <rFont val="宋体"/>
        <family val="0"/>
      </rPr>
      <t>到样地差旅费用</t>
    </r>
  </si>
  <si>
    <r>
      <t xml:space="preserve">     Other</t>
    </r>
    <r>
      <rPr>
        <sz val="10"/>
        <rFont val="Arial"/>
        <family val="2"/>
      </rPr>
      <t xml:space="preserve">  </t>
    </r>
    <r>
      <rPr>
        <sz val="10"/>
        <rFont val="宋体"/>
        <family val="0"/>
      </rPr>
      <t>其它</t>
    </r>
  </si>
  <si>
    <r>
      <t xml:space="preserve">TOTAL FIXED COST OF PROJECT  </t>
    </r>
    <r>
      <rPr>
        <b/>
        <sz val="10"/>
        <rFont val="宋体"/>
        <family val="0"/>
      </rPr>
      <t>项目总固定花费</t>
    </r>
  </si>
  <si>
    <r>
      <t>$/Project</t>
    </r>
    <r>
      <rPr>
        <sz val="10"/>
        <rFont val="Arial"/>
        <family val="2"/>
      </rPr>
      <t xml:space="preserve"> </t>
    </r>
    <r>
      <rPr>
        <sz val="10"/>
        <rFont val="宋体"/>
        <family val="0"/>
      </rPr>
      <t>项目</t>
    </r>
  </si>
  <si>
    <r>
      <t xml:space="preserve">VARIABLE COSTS/UNIT  </t>
    </r>
    <r>
      <rPr>
        <b/>
        <sz val="10"/>
        <rFont val="宋体"/>
        <family val="0"/>
      </rPr>
      <t>可变费用</t>
    </r>
    <r>
      <rPr>
        <b/>
        <sz val="10"/>
        <rFont val="Arial"/>
        <family val="2"/>
      </rPr>
      <t>/</t>
    </r>
    <r>
      <rPr>
        <b/>
        <sz val="10"/>
        <rFont val="宋体"/>
        <family val="0"/>
      </rPr>
      <t>单位</t>
    </r>
  </si>
  <si>
    <r>
      <t>Labor</t>
    </r>
    <r>
      <rPr>
        <sz val="10"/>
        <rFont val="Arial"/>
        <family val="2"/>
      </rPr>
      <t xml:space="preserve">  </t>
    </r>
    <r>
      <rPr>
        <sz val="10"/>
        <rFont val="宋体"/>
        <family val="0"/>
      </rPr>
      <t>劳力</t>
    </r>
  </si>
  <si>
    <r>
      <t xml:space="preserve">     Crew Manager</t>
    </r>
    <r>
      <rPr>
        <sz val="10"/>
        <rFont val="Arial"/>
        <family val="2"/>
      </rPr>
      <t xml:space="preserve">  </t>
    </r>
    <r>
      <rPr>
        <sz val="10"/>
        <rFont val="宋体"/>
        <family val="0"/>
      </rPr>
      <t>团队领导</t>
    </r>
  </si>
  <si>
    <r>
      <t xml:space="preserve">     Second Crew Member</t>
    </r>
    <r>
      <rPr>
        <sz val="10"/>
        <rFont val="Arial"/>
        <family val="2"/>
      </rPr>
      <t xml:space="preserve">  </t>
    </r>
    <r>
      <rPr>
        <sz val="10"/>
        <rFont val="宋体"/>
        <family val="0"/>
      </rPr>
      <t>团队成员</t>
    </r>
  </si>
  <si>
    <r>
      <t>$/hour</t>
    </r>
    <r>
      <rPr>
        <sz val="10"/>
        <rFont val="Arial"/>
        <family val="2"/>
      </rPr>
      <t xml:space="preserve">  </t>
    </r>
    <r>
      <rPr>
        <sz val="10"/>
        <rFont val="宋体"/>
        <family val="0"/>
      </rPr>
      <t>小时</t>
    </r>
  </si>
  <si>
    <r>
      <t xml:space="preserve">  Total Labor Cost</t>
    </r>
    <r>
      <rPr>
        <sz val="10"/>
        <rFont val="Arial"/>
        <family val="2"/>
      </rPr>
      <t xml:space="preserve"> </t>
    </r>
    <r>
      <rPr>
        <sz val="10"/>
        <rFont val="宋体"/>
        <family val="0"/>
      </rPr>
      <t>总劳力费用</t>
    </r>
  </si>
  <si>
    <r>
      <t>Living Expenses</t>
    </r>
    <r>
      <rPr>
        <sz val="10"/>
        <rFont val="Arial"/>
        <family val="2"/>
      </rPr>
      <t xml:space="preserve">   </t>
    </r>
    <r>
      <rPr>
        <sz val="10"/>
        <rFont val="宋体"/>
        <family val="0"/>
      </rPr>
      <t>住宿费用</t>
    </r>
  </si>
  <si>
    <r>
      <t>$/day</t>
    </r>
    <r>
      <rPr>
        <sz val="10"/>
        <rFont val="Arial"/>
        <family val="2"/>
      </rPr>
      <t xml:space="preserve">  </t>
    </r>
    <r>
      <rPr>
        <sz val="10"/>
        <rFont val="宋体"/>
        <family val="0"/>
      </rPr>
      <t>天</t>
    </r>
  </si>
  <si>
    <r>
      <t xml:space="preserve">     Accommodation (Crew Manager) </t>
    </r>
    <r>
      <rPr>
        <sz val="10"/>
        <rFont val="Arial"/>
        <family val="2"/>
      </rPr>
      <t xml:space="preserve">  </t>
    </r>
    <r>
      <rPr>
        <sz val="10"/>
        <rFont val="宋体"/>
        <family val="0"/>
      </rPr>
      <t>住宿（领导）</t>
    </r>
  </si>
  <si>
    <r>
      <t xml:space="preserve">     Accommodation (Second Crew Member)</t>
    </r>
    <r>
      <rPr>
        <sz val="10"/>
        <rFont val="Arial"/>
        <family val="2"/>
      </rPr>
      <t xml:space="preserve">  </t>
    </r>
    <r>
      <rPr>
        <sz val="10"/>
        <rFont val="宋体"/>
        <family val="0"/>
      </rPr>
      <t>住宿（成员）</t>
    </r>
  </si>
  <si>
    <r>
      <t xml:space="preserve">  Total Accommodation</t>
    </r>
    <r>
      <rPr>
        <sz val="10"/>
        <rFont val="Arial"/>
        <family val="2"/>
      </rPr>
      <t xml:space="preserve">  </t>
    </r>
    <r>
      <rPr>
        <sz val="10"/>
        <rFont val="宋体"/>
        <family val="0"/>
      </rPr>
      <t>总住宿费用</t>
    </r>
  </si>
  <si>
    <r>
      <t xml:space="preserve">     Per Diem (Crew Manager)</t>
    </r>
    <r>
      <rPr>
        <sz val="10"/>
        <rFont val="Arial"/>
        <family val="2"/>
      </rPr>
      <t xml:space="preserve">  </t>
    </r>
    <r>
      <rPr>
        <sz val="10"/>
        <rFont val="宋体"/>
        <family val="0"/>
      </rPr>
      <t>生活费用（领导）</t>
    </r>
  </si>
  <si>
    <r>
      <t xml:space="preserve">     Per Diem (Second Crew Member)</t>
    </r>
    <r>
      <rPr>
        <sz val="10"/>
        <rFont val="Arial"/>
        <family val="2"/>
      </rPr>
      <t xml:space="preserve">  </t>
    </r>
    <r>
      <rPr>
        <sz val="10"/>
        <rFont val="宋体"/>
        <family val="0"/>
      </rPr>
      <t>生活费用（成员）</t>
    </r>
  </si>
  <si>
    <r>
      <t xml:space="preserve">  Total Per Diem</t>
    </r>
    <r>
      <rPr>
        <sz val="10"/>
        <rFont val="Arial"/>
        <family val="2"/>
      </rPr>
      <t xml:space="preserve">  </t>
    </r>
    <r>
      <rPr>
        <sz val="10"/>
        <rFont val="宋体"/>
        <family val="0"/>
      </rPr>
      <t>总生活费用</t>
    </r>
  </si>
  <si>
    <r>
      <t xml:space="preserve">  Total Living Expenses</t>
    </r>
    <r>
      <rPr>
        <sz val="10"/>
        <rFont val="Arial"/>
        <family val="2"/>
      </rPr>
      <t xml:space="preserve">  </t>
    </r>
    <r>
      <rPr>
        <sz val="10"/>
        <rFont val="宋体"/>
        <family val="0"/>
      </rPr>
      <t>总生活费用</t>
    </r>
  </si>
  <si>
    <r>
      <t>Equipment hire/use</t>
    </r>
    <r>
      <rPr>
        <sz val="10"/>
        <rFont val="Arial"/>
        <family val="2"/>
      </rPr>
      <t xml:space="preserve">  </t>
    </r>
    <r>
      <rPr>
        <sz val="10"/>
        <rFont val="宋体"/>
        <family val="0"/>
      </rPr>
      <t>设备租赁和使用</t>
    </r>
  </si>
  <si>
    <r>
      <t xml:space="preserve">     Truck</t>
    </r>
    <r>
      <rPr>
        <sz val="10"/>
        <rFont val="Arial"/>
        <family val="2"/>
      </rPr>
      <t xml:space="preserve">  </t>
    </r>
    <r>
      <rPr>
        <sz val="10"/>
        <rFont val="宋体"/>
        <family val="0"/>
      </rPr>
      <t>卡车</t>
    </r>
  </si>
  <si>
    <r>
      <t xml:space="preserve">     ATV</t>
    </r>
    <r>
      <rPr>
        <sz val="10"/>
        <rFont val="Arial"/>
        <family val="2"/>
      </rPr>
      <t xml:space="preserve">  </t>
    </r>
    <r>
      <rPr>
        <sz val="10"/>
        <rFont val="宋体"/>
        <family val="0"/>
      </rPr>
      <t>越野车</t>
    </r>
  </si>
  <si>
    <r>
      <t xml:space="preserve">     Communication</t>
    </r>
    <r>
      <rPr>
        <sz val="10"/>
        <rFont val="Arial"/>
        <family val="2"/>
      </rPr>
      <t xml:space="preserve">  </t>
    </r>
    <r>
      <rPr>
        <sz val="10"/>
        <rFont val="宋体"/>
        <family val="0"/>
      </rPr>
      <t>通讯设备</t>
    </r>
  </si>
  <si>
    <r>
      <t xml:space="preserve">     Computer/laptop</t>
    </r>
    <r>
      <rPr>
        <sz val="10"/>
        <rFont val="Arial"/>
        <family val="2"/>
      </rPr>
      <t xml:space="preserve">  </t>
    </r>
    <r>
      <rPr>
        <sz val="10"/>
        <rFont val="宋体"/>
        <family val="0"/>
      </rPr>
      <t>电脑</t>
    </r>
    <r>
      <rPr>
        <sz val="10"/>
        <rFont val="Arial"/>
        <family val="2"/>
      </rPr>
      <t>/</t>
    </r>
    <r>
      <rPr>
        <sz val="10"/>
        <rFont val="宋体"/>
        <family val="0"/>
      </rPr>
      <t>笔记本</t>
    </r>
  </si>
  <si>
    <r>
      <t xml:space="preserve">     GPS units</t>
    </r>
    <r>
      <rPr>
        <sz val="10"/>
        <rFont val="Arial"/>
        <family val="2"/>
      </rPr>
      <t xml:space="preserve">  GPS</t>
    </r>
  </si>
  <si>
    <r>
      <t xml:space="preserve">     Other</t>
    </r>
    <r>
      <rPr>
        <sz val="10"/>
        <rFont val="Arial"/>
        <family val="2"/>
      </rPr>
      <t xml:space="preserve"> </t>
    </r>
    <r>
      <rPr>
        <sz val="10"/>
        <rFont val="宋体"/>
        <family val="0"/>
      </rPr>
      <t>其它</t>
    </r>
  </si>
  <si>
    <r>
      <t xml:space="preserve">  Total Equipment Costs</t>
    </r>
    <r>
      <rPr>
        <sz val="10"/>
        <rFont val="Arial"/>
        <family val="2"/>
      </rPr>
      <t xml:space="preserve">  </t>
    </r>
    <r>
      <rPr>
        <sz val="10"/>
        <rFont val="宋体"/>
        <family val="0"/>
      </rPr>
      <t>总设备费用</t>
    </r>
  </si>
  <si>
    <r>
      <t>Supplies</t>
    </r>
    <r>
      <rPr>
        <sz val="10"/>
        <rFont val="Arial"/>
        <family val="2"/>
      </rPr>
      <t xml:space="preserve">  </t>
    </r>
    <r>
      <rPr>
        <sz val="10"/>
        <rFont val="宋体"/>
        <family val="0"/>
      </rPr>
      <t>补给</t>
    </r>
  </si>
  <si>
    <r>
      <t xml:space="preserve">     Field supplies</t>
    </r>
    <r>
      <rPr>
        <sz val="10"/>
        <rFont val="Arial"/>
        <family val="2"/>
      </rPr>
      <t xml:space="preserve">  </t>
    </r>
    <r>
      <rPr>
        <sz val="10"/>
        <rFont val="宋体"/>
        <family val="0"/>
      </rPr>
      <t>野外补给</t>
    </r>
  </si>
  <si>
    <r>
      <t xml:space="preserve">  Total Cost Supplies</t>
    </r>
    <r>
      <rPr>
        <sz val="10"/>
        <rFont val="Arial"/>
        <family val="2"/>
      </rPr>
      <t xml:space="preserve">  </t>
    </r>
    <r>
      <rPr>
        <sz val="10"/>
        <rFont val="宋体"/>
        <family val="0"/>
      </rPr>
      <t>总补给费用</t>
    </r>
  </si>
  <si>
    <r>
      <t>Analysis</t>
    </r>
    <r>
      <rPr>
        <sz val="10"/>
        <rFont val="Arial"/>
        <family val="2"/>
      </rPr>
      <t xml:space="preserve">  </t>
    </r>
    <r>
      <rPr>
        <sz val="10"/>
        <rFont val="宋体"/>
        <family val="0"/>
      </rPr>
      <t>分析</t>
    </r>
  </si>
  <si>
    <r>
      <t xml:space="preserve">     Soil carbon analysis</t>
    </r>
    <r>
      <rPr>
        <sz val="10"/>
        <rFont val="Arial"/>
        <family val="2"/>
      </rPr>
      <t xml:space="preserve">  </t>
    </r>
    <r>
      <rPr>
        <sz val="10"/>
        <rFont val="宋体"/>
        <family val="0"/>
      </rPr>
      <t>土壤碳分析</t>
    </r>
  </si>
  <si>
    <r>
      <t>$/plot</t>
    </r>
    <r>
      <rPr>
        <sz val="10"/>
        <rFont val="Arial"/>
        <family val="2"/>
      </rPr>
      <t xml:space="preserve"> </t>
    </r>
    <r>
      <rPr>
        <sz val="10"/>
        <rFont val="宋体"/>
        <family val="0"/>
      </rPr>
      <t>样地</t>
    </r>
  </si>
  <si>
    <r>
      <t xml:space="preserve">     Shipping for soil carbon analysis</t>
    </r>
    <r>
      <rPr>
        <sz val="10"/>
        <rFont val="Arial"/>
        <family val="2"/>
      </rPr>
      <t xml:space="preserve"> </t>
    </r>
    <r>
      <rPr>
        <sz val="10"/>
        <rFont val="宋体"/>
        <family val="0"/>
      </rPr>
      <t>土壤分析过程中的运输</t>
    </r>
  </si>
  <si>
    <r>
      <t xml:space="preserve">     Bulk density analysis</t>
    </r>
    <r>
      <rPr>
        <sz val="10"/>
        <rFont val="Arial"/>
        <family val="2"/>
      </rPr>
      <t xml:space="preserve">  </t>
    </r>
    <r>
      <rPr>
        <sz val="10"/>
        <rFont val="宋体"/>
        <family val="0"/>
      </rPr>
      <t>容积密度分析</t>
    </r>
  </si>
  <si>
    <r>
      <t xml:space="preserve">     Shipping for bulk density analysis</t>
    </r>
    <r>
      <rPr>
        <sz val="10"/>
        <rFont val="Arial"/>
        <family val="2"/>
      </rPr>
      <t xml:space="preserve">  </t>
    </r>
    <r>
      <rPr>
        <sz val="10"/>
        <rFont val="宋体"/>
        <family val="0"/>
      </rPr>
      <t>容积密度分析过程中的运输</t>
    </r>
  </si>
  <si>
    <r>
      <t>Analysis Sub-Total</t>
    </r>
    <r>
      <rPr>
        <sz val="10"/>
        <rFont val="Arial"/>
        <family val="2"/>
      </rPr>
      <t xml:space="preserve"> </t>
    </r>
    <r>
      <rPr>
        <sz val="10"/>
        <rFont val="宋体"/>
        <family val="0"/>
      </rPr>
      <t>总分析费用</t>
    </r>
  </si>
  <si>
    <r>
      <t xml:space="preserve">     Other</t>
    </r>
    <r>
      <rPr>
        <sz val="10"/>
        <rFont val="Arial"/>
        <family val="2"/>
      </rPr>
      <t xml:space="preserve">  </t>
    </r>
    <r>
      <rPr>
        <sz val="10"/>
        <rFont val="宋体"/>
        <family val="0"/>
      </rPr>
      <t>其它</t>
    </r>
  </si>
  <si>
    <r>
      <t xml:space="preserve">     Shipping for "other"</t>
    </r>
    <r>
      <rPr>
        <sz val="10"/>
        <rFont val="Arial"/>
        <family val="2"/>
      </rPr>
      <t xml:space="preserve">  </t>
    </r>
    <r>
      <rPr>
        <sz val="10"/>
        <rFont val="宋体"/>
        <family val="0"/>
      </rPr>
      <t>其它的运输</t>
    </r>
  </si>
  <si>
    <r>
      <t>Other Sub-Total</t>
    </r>
    <r>
      <rPr>
        <sz val="10"/>
        <rFont val="Arial"/>
        <family val="2"/>
      </rPr>
      <t xml:space="preserve">  </t>
    </r>
    <r>
      <rPr>
        <sz val="10"/>
        <rFont val="宋体"/>
        <family val="0"/>
      </rPr>
      <t>总</t>
    </r>
    <r>
      <rPr>
        <sz val="10"/>
        <rFont val="Arial"/>
        <family val="2"/>
      </rPr>
      <t>"</t>
    </r>
    <r>
      <rPr>
        <sz val="10"/>
        <rFont val="宋体"/>
        <family val="0"/>
      </rPr>
      <t>其它</t>
    </r>
    <r>
      <rPr>
        <sz val="10"/>
        <rFont val="Arial"/>
        <family val="2"/>
      </rPr>
      <t>"</t>
    </r>
  </si>
  <si>
    <r>
      <t xml:space="preserve">  Total Cost of Sample Analysis</t>
    </r>
    <r>
      <rPr>
        <sz val="10"/>
        <rFont val="Arial"/>
        <family val="2"/>
      </rPr>
      <t xml:space="preserve"> </t>
    </r>
    <r>
      <rPr>
        <sz val="10"/>
        <rFont val="宋体"/>
        <family val="0"/>
      </rPr>
      <t>样本分析总费用</t>
    </r>
  </si>
  <si>
    <r>
      <t>Miscellaneous costs</t>
    </r>
    <r>
      <rPr>
        <sz val="10"/>
        <rFont val="Arial"/>
        <family val="2"/>
      </rPr>
      <t xml:space="preserve">  </t>
    </r>
    <r>
      <rPr>
        <sz val="10"/>
        <rFont val="宋体"/>
        <family val="0"/>
      </rPr>
      <t>其它费用</t>
    </r>
  </si>
  <si>
    <r>
      <t xml:space="preserve">     Fuel (truck)</t>
    </r>
    <r>
      <rPr>
        <sz val="10"/>
        <rFont val="Arial"/>
        <family val="2"/>
      </rPr>
      <t xml:space="preserve">  </t>
    </r>
    <r>
      <rPr>
        <sz val="10"/>
        <rFont val="宋体"/>
        <family val="0"/>
      </rPr>
      <t>燃油（卡车）</t>
    </r>
  </si>
  <si>
    <r>
      <t xml:space="preserve">     Fuel (ATV)</t>
    </r>
    <r>
      <rPr>
        <sz val="10"/>
        <rFont val="Arial"/>
        <family val="2"/>
      </rPr>
      <t xml:space="preserve">  </t>
    </r>
    <r>
      <rPr>
        <sz val="10"/>
        <rFont val="宋体"/>
        <family val="0"/>
      </rPr>
      <t>燃油（越野车）</t>
    </r>
  </si>
  <si>
    <r>
      <t>$/gallon</t>
    </r>
    <r>
      <rPr>
        <sz val="10"/>
        <rFont val="Arial"/>
        <family val="2"/>
      </rPr>
      <t xml:space="preserve"> </t>
    </r>
    <r>
      <rPr>
        <sz val="10"/>
        <rFont val="宋体"/>
        <family val="0"/>
      </rPr>
      <t>加仑</t>
    </r>
  </si>
  <si>
    <t>到所有样地需要的总时间</t>
  </si>
  <si>
    <r>
      <t>Total number of plots - Aboveground biomass</t>
    </r>
    <r>
      <rPr>
        <sz val="10"/>
        <rFont val="Arial"/>
        <family val="2"/>
      </rPr>
      <t xml:space="preserve">    </t>
    </r>
    <r>
      <rPr>
        <sz val="10"/>
        <rFont val="宋体"/>
        <family val="0"/>
      </rPr>
      <t>样地数量－地上</t>
    </r>
  </si>
  <si>
    <r>
      <t>Total time per plot - Aboveground biomass</t>
    </r>
    <r>
      <rPr>
        <sz val="10"/>
        <rFont val="Arial"/>
        <family val="2"/>
      </rPr>
      <t xml:space="preserve">  </t>
    </r>
    <r>
      <rPr>
        <sz val="10"/>
        <rFont val="宋体"/>
        <family val="0"/>
      </rPr>
      <t>每个样地时间－地上</t>
    </r>
  </si>
  <si>
    <r>
      <t>Total plot sample time - Aboveground biomass</t>
    </r>
    <r>
      <rPr>
        <sz val="10"/>
        <rFont val="Arial"/>
        <family val="2"/>
      </rPr>
      <t xml:space="preserve">  </t>
    </r>
    <r>
      <rPr>
        <sz val="10"/>
        <rFont val="宋体"/>
        <family val="0"/>
      </rPr>
      <t>样地取样时间－地上</t>
    </r>
  </si>
  <si>
    <r>
      <t>Total number of plots - Soil carbon</t>
    </r>
    <r>
      <rPr>
        <sz val="10"/>
        <rFont val="Arial"/>
        <family val="2"/>
      </rPr>
      <t xml:space="preserve">  </t>
    </r>
    <r>
      <rPr>
        <sz val="10"/>
        <rFont val="宋体"/>
        <family val="0"/>
      </rPr>
      <t>样地数量－土壤</t>
    </r>
  </si>
  <si>
    <r>
      <t>Total plot sample time - Soil Carbon</t>
    </r>
    <r>
      <rPr>
        <sz val="10"/>
        <rFont val="Arial"/>
        <family val="2"/>
      </rPr>
      <t xml:space="preserve">  </t>
    </r>
    <r>
      <rPr>
        <sz val="10"/>
        <rFont val="宋体"/>
        <family val="0"/>
      </rPr>
      <t>每个样地时间－土壤</t>
    </r>
  </si>
  <si>
    <r>
      <t>Total Plot Establish time</t>
    </r>
    <r>
      <rPr>
        <sz val="10"/>
        <rFont val="Arial"/>
        <family val="2"/>
      </rPr>
      <t xml:space="preserve"> </t>
    </r>
    <r>
      <rPr>
        <sz val="10"/>
        <rFont val="宋体"/>
        <family val="0"/>
      </rPr>
      <t>样地建立时间</t>
    </r>
  </si>
  <si>
    <r>
      <t>Total time- all project sampling (aboveground biomass and soil carbon)</t>
    </r>
    <r>
      <rPr>
        <sz val="10"/>
        <rFont val="Arial"/>
        <family val="2"/>
      </rPr>
      <t xml:space="preserve">  </t>
    </r>
    <r>
      <rPr>
        <sz val="10"/>
        <rFont val="宋体"/>
        <family val="0"/>
      </rPr>
      <t>总时间－所有项目采样（地上和土壤）</t>
    </r>
  </si>
  <si>
    <t>样地</t>
  </si>
  <si>
    <t>分钟</t>
  </si>
  <si>
    <t>小时</t>
  </si>
  <si>
    <t>小时</t>
  </si>
  <si>
    <t>工作时间估计</t>
  </si>
  <si>
    <r>
      <t>Short day</t>
    </r>
    <r>
      <rPr>
        <sz val="10"/>
        <rFont val="Arial"/>
        <family val="2"/>
      </rPr>
      <t xml:space="preserve">  </t>
    </r>
    <r>
      <rPr>
        <sz val="10"/>
        <rFont val="宋体"/>
        <family val="0"/>
      </rPr>
      <t>短</t>
    </r>
  </si>
  <si>
    <r>
      <t>Average day</t>
    </r>
    <r>
      <rPr>
        <sz val="10"/>
        <rFont val="Arial"/>
        <family val="2"/>
      </rPr>
      <t xml:space="preserve"> </t>
    </r>
    <r>
      <rPr>
        <sz val="10"/>
        <rFont val="宋体"/>
        <family val="0"/>
      </rPr>
      <t>平均</t>
    </r>
  </si>
  <si>
    <r>
      <t>Long day</t>
    </r>
    <r>
      <rPr>
        <sz val="10"/>
        <rFont val="Arial"/>
        <family val="2"/>
      </rPr>
      <t xml:space="preserve">  </t>
    </r>
    <r>
      <rPr>
        <sz val="10"/>
        <rFont val="宋体"/>
        <family val="0"/>
      </rPr>
      <t>长</t>
    </r>
  </si>
  <si>
    <t>项目采样期估计</t>
  </si>
  <si>
    <r>
      <t>Includes plot establishment</t>
    </r>
    <r>
      <rPr>
        <b/>
        <sz val="10"/>
        <rFont val="Arial"/>
        <family val="2"/>
      </rPr>
      <t xml:space="preserve">  </t>
    </r>
    <r>
      <rPr>
        <b/>
        <sz val="10"/>
        <rFont val="宋体"/>
        <family val="0"/>
      </rPr>
      <t>包括样地建立</t>
    </r>
  </si>
  <si>
    <r>
      <t xml:space="preserve">Short day  </t>
    </r>
    <r>
      <rPr>
        <sz val="10"/>
        <rFont val="宋体"/>
        <family val="0"/>
      </rPr>
      <t>短</t>
    </r>
  </si>
  <si>
    <r>
      <t xml:space="preserve">Average day </t>
    </r>
    <r>
      <rPr>
        <sz val="10"/>
        <rFont val="宋体"/>
        <family val="0"/>
      </rPr>
      <t>平均</t>
    </r>
  </si>
  <si>
    <r>
      <t xml:space="preserve">Long day  </t>
    </r>
    <r>
      <rPr>
        <sz val="10"/>
        <rFont val="宋体"/>
        <family val="0"/>
      </rPr>
      <t>长</t>
    </r>
  </si>
  <si>
    <r>
      <t>Excludes plot establishment</t>
    </r>
    <r>
      <rPr>
        <b/>
        <sz val="10"/>
        <rFont val="Arial"/>
        <family val="2"/>
      </rPr>
      <t xml:space="preserve">  </t>
    </r>
    <r>
      <rPr>
        <b/>
        <sz val="10"/>
        <rFont val="宋体"/>
        <family val="0"/>
      </rPr>
      <t>不包括样地建立</t>
    </r>
  </si>
  <si>
    <t>到项目点时间</t>
  </si>
  <si>
    <r>
      <t>Estimated travel and set up time</t>
    </r>
    <r>
      <rPr>
        <sz val="10"/>
        <rFont val="Arial"/>
        <family val="2"/>
      </rPr>
      <t xml:space="preserve">  </t>
    </r>
    <r>
      <rPr>
        <sz val="10"/>
        <rFont val="宋体"/>
        <family val="0"/>
      </rPr>
      <t>预计的路途和启动时间</t>
    </r>
  </si>
  <si>
    <t>完成项目的时间</t>
  </si>
  <si>
    <r>
      <t xml:space="preserve">Includes plot establishment  </t>
    </r>
    <r>
      <rPr>
        <b/>
        <sz val="10"/>
        <rFont val="宋体"/>
        <family val="0"/>
      </rPr>
      <t>包括样地建立</t>
    </r>
  </si>
  <si>
    <r>
      <t xml:space="preserve">Excludes plot establishment  </t>
    </r>
    <r>
      <rPr>
        <b/>
        <sz val="10"/>
        <rFont val="宋体"/>
        <family val="0"/>
      </rPr>
      <t>不包括样地建立</t>
    </r>
  </si>
  <si>
    <t>到下页</t>
  </si>
  <si>
    <t>天</t>
  </si>
  <si>
    <t>测量费用</t>
  </si>
  <si>
    <r>
      <t>(Excludes cost of establishing the plots)</t>
    </r>
    <r>
      <rPr>
        <sz val="10"/>
        <rFont val="Arial"/>
        <family val="2"/>
      </rPr>
      <t xml:space="preserve"> </t>
    </r>
    <r>
      <rPr>
        <sz val="10"/>
        <rFont val="宋体"/>
        <family val="0"/>
      </rPr>
      <t>（不包括建立样地的费用）</t>
    </r>
  </si>
  <si>
    <r>
      <t xml:space="preserve">Cost category </t>
    </r>
    <r>
      <rPr>
        <b/>
        <sz val="10"/>
        <rFont val="宋体"/>
        <family val="0"/>
      </rPr>
      <t>费用类别</t>
    </r>
  </si>
  <si>
    <r>
      <t>Labor cost</t>
    </r>
    <r>
      <rPr>
        <b/>
        <sz val="10"/>
        <rFont val="Arial"/>
        <family val="2"/>
      </rPr>
      <t xml:space="preserve">  </t>
    </r>
    <r>
      <rPr>
        <b/>
        <sz val="10"/>
        <rFont val="宋体"/>
        <family val="0"/>
      </rPr>
      <t>实验室费用</t>
    </r>
  </si>
  <si>
    <r>
      <t xml:space="preserve">     Short day</t>
    </r>
    <r>
      <rPr>
        <sz val="10"/>
        <rFont val="Arial"/>
        <family val="2"/>
      </rPr>
      <t xml:space="preserve"> </t>
    </r>
    <r>
      <rPr>
        <sz val="10"/>
        <rFont val="宋体"/>
        <family val="0"/>
      </rPr>
      <t>短</t>
    </r>
  </si>
  <si>
    <r>
      <t xml:space="preserve">     Average day</t>
    </r>
    <r>
      <rPr>
        <sz val="10"/>
        <rFont val="Arial"/>
        <family val="2"/>
      </rPr>
      <t xml:space="preserve"> </t>
    </r>
    <r>
      <rPr>
        <sz val="10"/>
        <rFont val="宋体"/>
        <family val="0"/>
      </rPr>
      <t>平均</t>
    </r>
  </si>
  <si>
    <r>
      <t xml:space="preserve">     Long day</t>
    </r>
    <r>
      <rPr>
        <sz val="10"/>
        <rFont val="Arial"/>
        <family val="2"/>
      </rPr>
      <t xml:space="preserve"> </t>
    </r>
    <r>
      <rPr>
        <sz val="10"/>
        <rFont val="宋体"/>
        <family val="0"/>
      </rPr>
      <t>长</t>
    </r>
  </si>
  <si>
    <t>美元</t>
  </si>
  <si>
    <r>
      <t>Per diem</t>
    </r>
    <r>
      <rPr>
        <sz val="10"/>
        <rFont val="Arial"/>
        <family val="2"/>
      </rPr>
      <t xml:space="preserve"> </t>
    </r>
    <r>
      <rPr>
        <sz val="10"/>
        <rFont val="宋体"/>
        <family val="0"/>
      </rPr>
      <t>生活费用</t>
    </r>
  </si>
  <si>
    <r>
      <t>Living Expenses</t>
    </r>
    <r>
      <rPr>
        <b/>
        <sz val="10"/>
        <rFont val="Arial"/>
        <family val="2"/>
      </rPr>
      <t xml:space="preserve">  </t>
    </r>
    <r>
      <rPr>
        <b/>
        <sz val="10"/>
        <rFont val="宋体"/>
        <family val="0"/>
      </rPr>
      <t>总生活费用</t>
    </r>
  </si>
  <si>
    <r>
      <t>Accomodation</t>
    </r>
    <r>
      <rPr>
        <sz val="10"/>
        <rFont val="Arial"/>
        <family val="2"/>
      </rPr>
      <t xml:space="preserve">  </t>
    </r>
    <r>
      <rPr>
        <sz val="10"/>
        <rFont val="宋体"/>
        <family val="0"/>
      </rPr>
      <t>住宿</t>
    </r>
  </si>
  <si>
    <r>
      <t xml:space="preserve">     Average day</t>
    </r>
    <r>
      <rPr>
        <sz val="10"/>
        <rFont val="Arial"/>
        <family val="2"/>
      </rPr>
      <t xml:space="preserve">  </t>
    </r>
    <r>
      <rPr>
        <sz val="10"/>
        <rFont val="宋体"/>
        <family val="0"/>
      </rPr>
      <t>平均</t>
    </r>
  </si>
  <si>
    <r>
      <t xml:space="preserve">     Long day</t>
    </r>
    <r>
      <rPr>
        <sz val="10"/>
        <rFont val="Arial"/>
        <family val="2"/>
      </rPr>
      <t xml:space="preserve">  </t>
    </r>
    <r>
      <rPr>
        <sz val="10"/>
        <rFont val="宋体"/>
        <family val="0"/>
      </rPr>
      <t>长</t>
    </r>
  </si>
  <si>
    <r>
      <t>Total Equipment costs</t>
    </r>
    <r>
      <rPr>
        <b/>
        <sz val="10"/>
        <rFont val="Arial"/>
        <family val="2"/>
      </rPr>
      <t xml:space="preserve"> </t>
    </r>
    <r>
      <rPr>
        <b/>
        <sz val="10"/>
        <rFont val="宋体"/>
        <family val="0"/>
      </rPr>
      <t>设备总费用</t>
    </r>
  </si>
  <si>
    <r>
      <t>Supplies</t>
    </r>
    <r>
      <rPr>
        <b/>
        <sz val="10"/>
        <rFont val="Arial"/>
        <family val="2"/>
      </rPr>
      <t xml:space="preserve"> </t>
    </r>
    <r>
      <rPr>
        <b/>
        <sz val="10"/>
        <rFont val="宋体"/>
        <family val="0"/>
      </rPr>
      <t>供应品</t>
    </r>
  </si>
  <si>
    <r>
      <t>Equipment and Supplies</t>
    </r>
    <r>
      <rPr>
        <b/>
        <sz val="10"/>
        <rFont val="Arial"/>
        <family val="2"/>
      </rPr>
      <t xml:space="preserve">  </t>
    </r>
    <r>
      <rPr>
        <b/>
        <sz val="10"/>
        <rFont val="宋体"/>
        <family val="0"/>
      </rPr>
      <t>设备和供应品</t>
    </r>
  </si>
  <si>
    <r>
      <t>Analysis Costs</t>
    </r>
    <r>
      <rPr>
        <b/>
        <sz val="10"/>
        <rFont val="Arial"/>
        <family val="2"/>
      </rPr>
      <t xml:space="preserve"> </t>
    </r>
    <r>
      <rPr>
        <b/>
        <sz val="10"/>
        <rFont val="宋体"/>
        <family val="0"/>
      </rPr>
      <t>分析费用</t>
    </r>
  </si>
  <si>
    <r>
      <t>Fuel cost 10 gallons/day</t>
    </r>
    <r>
      <rPr>
        <b/>
        <sz val="10"/>
        <rFont val="Arial"/>
        <family val="2"/>
      </rPr>
      <t xml:space="preserve">  </t>
    </r>
    <r>
      <rPr>
        <b/>
        <sz val="10"/>
        <rFont val="宋体"/>
        <family val="0"/>
      </rPr>
      <t>燃油消耗</t>
    </r>
    <r>
      <rPr>
        <b/>
        <sz val="10"/>
        <rFont val="Arial"/>
        <family val="2"/>
      </rPr>
      <t>10</t>
    </r>
    <r>
      <rPr>
        <b/>
        <sz val="10"/>
        <rFont val="宋体"/>
        <family val="0"/>
      </rPr>
      <t>加仑</t>
    </r>
    <r>
      <rPr>
        <b/>
        <sz val="10"/>
        <rFont val="Arial"/>
        <family val="2"/>
      </rPr>
      <t>/</t>
    </r>
    <r>
      <rPr>
        <b/>
        <sz val="10"/>
        <rFont val="宋体"/>
        <family val="0"/>
      </rPr>
      <t>天</t>
    </r>
  </si>
  <si>
    <r>
      <t xml:space="preserve">     Short day</t>
    </r>
    <r>
      <rPr>
        <b/>
        <sz val="10"/>
        <rFont val="Arial"/>
        <family val="2"/>
      </rPr>
      <t xml:space="preserve"> </t>
    </r>
    <r>
      <rPr>
        <b/>
        <sz val="10"/>
        <rFont val="宋体"/>
        <family val="0"/>
      </rPr>
      <t>短</t>
    </r>
  </si>
  <si>
    <r>
      <t xml:space="preserve">     Average day</t>
    </r>
    <r>
      <rPr>
        <b/>
        <sz val="10"/>
        <rFont val="Arial"/>
        <family val="2"/>
      </rPr>
      <t xml:space="preserve"> </t>
    </r>
    <r>
      <rPr>
        <b/>
        <sz val="10"/>
        <rFont val="宋体"/>
        <family val="0"/>
      </rPr>
      <t>平均</t>
    </r>
  </si>
  <si>
    <r>
      <t xml:space="preserve">     Long day</t>
    </r>
    <r>
      <rPr>
        <b/>
        <sz val="10"/>
        <rFont val="Arial"/>
        <family val="2"/>
      </rPr>
      <t xml:space="preserve"> </t>
    </r>
    <r>
      <rPr>
        <b/>
        <sz val="10"/>
        <rFont val="宋体"/>
        <family val="0"/>
      </rPr>
      <t>长</t>
    </r>
  </si>
  <si>
    <r>
      <t>Fixed costs of travel</t>
    </r>
    <r>
      <rPr>
        <b/>
        <sz val="10"/>
        <rFont val="Arial"/>
        <family val="2"/>
      </rPr>
      <t xml:space="preserve"> </t>
    </r>
    <r>
      <rPr>
        <b/>
        <sz val="10"/>
        <rFont val="宋体"/>
        <family val="0"/>
      </rPr>
      <t>旅行固定费用</t>
    </r>
  </si>
  <si>
    <r>
      <t xml:space="preserve">        cost/ha  </t>
    </r>
    <r>
      <rPr>
        <i/>
        <sz val="10"/>
        <rFont val="宋体"/>
        <family val="0"/>
      </rPr>
      <t>花费</t>
    </r>
    <r>
      <rPr>
        <i/>
        <sz val="10"/>
        <rFont val="Arial"/>
        <family val="2"/>
      </rPr>
      <t>/</t>
    </r>
    <r>
      <rPr>
        <i/>
        <sz val="10"/>
        <rFont val="宋体"/>
        <family val="0"/>
      </rPr>
      <t>公顷</t>
    </r>
  </si>
  <si>
    <r>
      <t xml:space="preserve">     Short day</t>
    </r>
    <r>
      <rPr>
        <sz val="10"/>
        <rFont val="Arial"/>
        <family val="2"/>
      </rPr>
      <t xml:space="preserve">  </t>
    </r>
    <r>
      <rPr>
        <sz val="10"/>
        <rFont val="宋体"/>
        <family val="0"/>
      </rPr>
      <t>短</t>
    </r>
  </si>
  <si>
    <t>到下页</t>
  </si>
  <si>
    <r>
      <t>Standard Deviation (tonnes C/ha)</t>
    </r>
    <r>
      <rPr>
        <sz val="10"/>
        <rFont val="Arial"/>
        <family val="2"/>
      </rPr>
      <t xml:space="preserve">  </t>
    </r>
    <r>
      <rPr>
        <sz val="10"/>
        <rFont val="宋体"/>
        <family val="0"/>
      </rPr>
      <t>标准差（吨碳</t>
    </r>
    <r>
      <rPr>
        <sz val="10"/>
        <rFont val="Arial"/>
        <family val="2"/>
      </rPr>
      <t>/</t>
    </r>
    <r>
      <rPr>
        <sz val="10"/>
        <rFont val="宋体"/>
        <family val="0"/>
      </rPr>
      <t>公顷）</t>
    </r>
  </si>
  <si>
    <r>
      <t xml:space="preserve">Area (ha)  </t>
    </r>
    <r>
      <rPr>
        <sz val="10"/>
        <rFont val="宋体"/>
        <family val="0"/>
      </rPr>
      <t>面积（公顷）</t>
    </r>
  </si>
  <si>
    <r>
      <t>Coefficient of Variation %</t>
    </r>
    <r>
      <rPr>
        <sz val="10"/>
        <rFont val="Arial"/>
        <family val="2"/>
      </rPr>
      <t xml:space="preserve">   </t>
    </r>
    <r>
      <rPr>
        <sz val="10"/>
        <rFont val="宋体"/>
        <family val="0"/>
      </rPr>
      <t>变异系数</t>
    </r>
  </si>
  <si>
    <t>Weighted Plot Size</t>
  </si>
  <si>
    <t>Number of Plots using Winrock Methods Manual equation</t>
  </si>
  <si>
    <t>STRATA NAME</t>
  </si>
  <si>
    <t>TOTAL NUMBER OF PLOTS</t>
  </si>
  <si>
    <t xml:space="preserve">Copyright 2006 © </t>
  </si>
  <si>
    <t>Please do not alter excel file without permission from Winrock International:</t>
  </si>
  <si>
    <t>www.winrock.org</t>
  </si>
  <si>
    <t>CarbonServices@winrock.org</t>
  </si>
  <si>
    <t>a. Wenger, K.F. (ed). 1984 Forestry handbook,= (2nd edition), New York: John Wiley and Sons</t>
  </si>
  <si>
    <t>b. Avery T.E. and H.E. Burkhart (eds.). 1994.  Forest Measurements, 4th edition. McGraw-Hill, New York</t>
  </si>
  <si>
    <r>
      <t>W</t>
    </r>
    <r>
      <rPr>
        <vertAlign val="subscript"/>
        <sz val="10"/>
        <rFont val="Arial"/>
        <family val="2"/>
      </rPr>
      <t>h</t>
    </r>
  </si>
  <si>
    <r>
      <t>Cost C</t>
    </r>
    <r>
      <rPr>
        <b/>
        <vertAlign val="subscript"/>
        <sz val="11"/>
        <rFont val="Arial"/>
        <family val="2"/>
      </rPr>
      <t xml:space="preserve">h  </t>
    </r>
    <r>
      <rPr>
        <sz val="11"/>
        <rFont val="Arial"/>
        <family val="2"/>
      </rPr>
      <t>If no cost, put C</t>
    </r>
    <r>
      <rPr>
        <vertAlign val="subscript"/>
        <sz val="11"/>
        <rFont val="Arial"/>
        <family val="2"/>
      </rPr>
      <t>h</t>
    </r>
    <r>
      <rPr>
        <sz val="11"/>
        <rFont val="Arial"/>
        <family val="2"/>
      </rPr>
      <t xml:space="preserve"> =1</t>
    </r>
  </si>
  <si>
    <r>
      <t>W</t>
    </r>
    <r>
      <rPr>
        <vertAlign val="subscript"/>
        <sz val="10"/>
        <rFont val="Arial"/>
        <family val="2"/>
      </rPr>
      <t>h</t>
    </r>
    <r>
      <rPr>
        <sz val="10"/>
        <rFont val="Arial"/>
        <family val="0"/>
      </rPr>
      <t xml:space="preserve"> * </t>
    </r>
    <r>
      <rPr>
        <b/>
        <sz val="10"/>
        <rFont val="Arial"/>
        <family val="2"/>
      </rPr>
      <t>s</t>
    </r>
    <r>
      <rPr>
        <vertAlign val="subscript"/>
        <sz val="10"/>
        <rFont val="Arial"/>
        <family val="2"/>
      </rPr>
      <t>h</t>
    </r>
    <r>
      <rPr>
        <sz val="10"/>
        <rFont val="Arial"/>
        <family val="0"/>
      </rPr>
      <t xml:space="preserve"> * sqrt </t>
    </r>
    <r>
      <rPr>
        <b/>
        <sz val="10"/>
        <rFont val="Arial"/>
        <family val="2"/>
      </rPr>
      <t>C</t>
    </r>
    <r>
      <rPr>
        <vertAlign val="subscript"/>
        <sz val="10"/>
        <rFont val="Arial"/>
        <family val="2"/>
      </rPr>
      <t>h</t>
    </r>
  </si>
  <si>
    <r>
      <t>(W</t>
    </r>
    <r>
      <rPr>
        <vertAlign val="subscript"/>
        <sz val="10"/>
        <rFont val="Arial"/>
        <family val="2"/>
      </rPr>
      <t>h</t>
    </r>
    <r>
      <rPr>
        <sz val="10"/>
        <rFont val="Arial"/>
        <family val="0"/>
      </rPr>
      <t xml:space="preserve"> * </t>
    </r>
    <r>
      <rPr>
        <b/>
        <sz val="10"/>
        <rFont val="Arial"/>
        <family val="2"/>
      </rPr>
      <t>s</t>
    </r>
    <r>
      <rPr>
        <vertAlign val="subscript"/>
        <sz val="10"/>
        <rFont val="Arial"/>
        <family val="2"/>
      </rPr>
      <t>h</t>
    </r>
    <r>
      <rPr>
        <sz val="10"/>
        <rFont val="Arial"/>
        <family val="0"/>
      </rPr>
      <t xml:space="preserve">) /sqrt </t>
    </r>
    <r>
      <rPr>
        <b/>
        <sz val="10"/>
        <rFont val="Arial"/>
        <family val="2"/>
      </rPr>
      <t>C</t>
    </r>
    <r>
      <rPr>
        <vertAlign val="subscript"/>
        <sz val="10"/>
        <rFont val="Arial"/>
        <family val="2"/>
      </rPr>
      <t>h</t>
    </r>
  </si>
  <si>
    <r>
      <t>N</t>
    </r>
    <r>
      <rPr>
        <b/>
        <vertAlign val="subscript"/>
        <sz val="11"/>
        <rFont val="Arial"/>
        <family val="0"/>
      </rPr>
      <t>h</t>
    </r>
    <r>
      <rPr>
        <b/>
        <sz val="11"/>
        <rFont val="Arial"/>
        <family val="0"/>
      </rPr>
      <t>*s</t>
    </r>
  </si>
  <si>
    <r>
      <t>N</t>
    </r>
    <r>
      <rPr>
        <b/>
        <vertAlign val="subscript"/>
        <sz val="11"/>
        <rFont val="Arial"/>
        <family val="0"/>
      </rPr>
      <t>h</t>
    </r>
    <r>
      <rPr>
        <b/>
        <sz val="11"/>
        <rFont val="Arial"/>
        <family val="0"/>
      </rPr>
      <t>*s</t>
    </r>
    <r>
      <rPr>
        <b/>
        <vertAlign val="superscript"/>
        <sz val="11"/>
        <rFont val="Arial"/>
        <family val="0"/>
      </rPr>
      <t>2</t>
    </r>
  </si>
  <si>
    <r>
      <t>AR-AM001 Equations</t>
    </r>
    <r>
      <rPr>
        <vertAlign val="superscript"/>
        <sz val="14"/>
        <rFont val="Arial"/>
        <family val="2"/>
      </rPr>
      <t>a</t>
    </r>
    <r>
      <rPr>
        <sz val="14"/>
        <rFont val="Arial"/>
        <family val="0"/>
      </rPr>
      <t>:</t>
    </r>
  </si>
  <si>
    <r>
      <t>N = sum N</t>
    </r>
    <r>
      <rPr>
        <vertAlign val="subscript"/>
        <sz val="10"/>
        <rFont val="Arial"/>
        <family val="2"/>
      </rPr>
      <t>h</t>
    </r>
  </si>
  <si>
    <r>
      <t>Winrock Methods Manual and Sourcebook for LULUCF Equations</t>
    </r>
    <r>
      <rPr>
        <vertAlign val="superscript"/>
        <sz val="14"/>
        <rFont val="Arial"/>
        <family val="2"/>
      </rPr>
      <t>b</t>
    </r>
    <r>
      <rPr>
        <sz val="14"/>
        <rFont val="Arial"/>
        <family val="0"/>
      </rPr>
      <t>:</t>
    </r>
  </si>
  <si>
    <r>
      <t>C</t>
    </r>
    <r>
      <rPr>
        <b/>
        <vertAlign val="subscript"/>
        <sz val="10"/>
        <rFont val="Arial"/>
        <family val="2"/>
      </rPr>
      <t>h</t>
    </r>
    <r>
      <rPr>
        <sz val="10"/>
        <rFont val="Arial"/>
        <family val="2"/>
      </rPr>
      <t xml:space="preserve"> = Cost to select a plot of the stratum h</t>
    </r>
  </si>
  <si>
    <r>
      <t xml:space="preserve">t  </t>
    </r>
    <r>
      <rPr>
        <sz val="10"/>
        <rFont val="Arial"/>
        <family val="2"/>
      </rPr>
      <t xml:space="preserve">= the sample statistic from the t-distribution for the 95 % confidence level. </t>
    </r>
  </si>
  <si>
    <r>
      <t>N</t>
    </r>
    <r>
      <rPr>
        <b/>
        <vertAlign val="subscript"/>
        <sz val="10"/>
        <rFont val="Arial"/>
        <family val="2"/>
      </rPr>
      <t>h</t>
    </r>
    <r>
      <rPr>
        <b/>
        <sz val="10"/>
        <rFont val="Arial"/>
        <family val="2"/>
      </rPr>
      <t xml:space="preserve"> </t>
    </r>
    <r>
      <rPr>
        <sz val="10"/>
        <rFont val="Arial"/>
        <family val="2"/>
      </rPr>
      <t>= number of sampling units for stratum h (= area of the stratum in hectares / area of the plot in hectares)</t>
    </r>
  </si>
  <si>
    <r>
      <t xml:space="preserve">N </t>
    </r>
    <r>
      <rPr>
        <sz val="10"/>
        <rFont val="Arial"/>
        <family val="2"/>
      </rPr>
      <t xml:space="preserve">= number of sampling units in the population </t>
    </r>
  </si>
  <si>
    <r>
      <t>s</t>
    </r>
    <r>
      <rPr>
        <b/>
        <vertAlign val="subscript"/>
        <sz val="10"/>
        <rFont val="Arial"/>
        <family val="2"/>
      </rPr>
      <t>h</t>
    </r>
    <r>
      <rPr>
        <b/>
        <sz val="10"/>
        <rFont val="Arial"/>
        <family val="2"/>
      </rPr>
      <t xml:space="preserve"> </t>
    </r>
    <r>
      <rPr>
        <sz val="10"/>
        <rFont val="Arial"/>
        <family val="2"/>
      </rPr>
      <t>= standard deviation of stratum h</t>
    </r>
  </si>
  <si>
    <r>
      <t>W</t>
    </r>
    <r>
      <rPr>
        <b/>
        <vertAlign val="subscript"/>
        <sz val="10"/>
        <rFont val="Arial"/>
        <family val="2"/>
      </rPr>
      <t>h</t>
    </r>
    <r>
      <rPr>
        <sz val="10"/>
        <rFont val="Arial"/>
        <family val="0"/>
      </rPr>
      <t xml:space="preserve"> = N</t>
    </r>
    <r>
      <rPr>
        <vertAlign val="subscript"/>
        <sz val="10"/>
        <rFont val="Arial"/>
        <family val="2"/>
      </rPr>
      <t>h</t>
    </r>
    <r>
      <rPr>
        <sz val="10"/>
        <rFont val="Arial"/>
        <family val="0"/>
      </rPr>
      <t>/N</t>
    </r>
  </si>
  <si>
    <t>Plot Quantity - Aboveground biomass 样地数量-地上生物量</t>
  </si>
  <si>
    <t>TOTAL PLOT QUANTITY - ABOVEGROUND BIOMASS 总样地数量-地上生物量</t>
  </si>
  <si>
    <r>
      <t>Plot Quantity</t>
    </r>
    <r>
      <rPr>
        <sz val="10"/>
        <rFont val="Arial"/>
        <family val="2"/>
      </rPr>
      <t xml:space="preserve">  </t>
    </r>
    <r>
      <rPr>
        <sz val="10"/>
        <rFont val="宋体"/>
        <family val="0"/>
      </rPr>
      <t>样地数量</t>
    </r>
  </si>
  <si>
    <r>
      <t xml:space="preserve">Total Area   </t>
    </r>
    <r>
      <rPr>
        <sz val="10"/>
        <rFont val="宋体"/>
        <family val="0"/>
      </rPr>
      <t>总面积</t>
    </r>
  </si>
  <si>
    <r>
      <t xml:space="preserve">Weighted Mean C   </t>
    </r>
    <r>
      <rPr>
        <sz val="10"/>
        <rFont val="宋体"/>
        <family val="0"/>
      </rPr>
      <t>平均碳重量</t>
    </r>
  </si>
  <si>
    <r>
      <t xml:space="preserve">tonnes/ha   </t>
    </r>
    <r>
      <rPr>
        <sz val="10"/>
        <rFont val="宋体"/>
        <family val="0"/>
      </rPr>
      <t>吨</t>
    </r>
    <r>
      <rPr>
        <sz val="10"/>
        <rFont val="Arial"/>
        <family val="2"/>
      </rPr>
      <t>/</t>
    </r>
    <r>
      <rPr>
        <sz val="10"/>
        <rFont val="宋体"/>
        <family val="0"/>
      </rPr>
      <t>公顷</t>
    </r>
  </si>
  <si>
    <r>
      <t xml:space="preserve">hectares  </t>
    </r>
    <r>
      <rPr>
        <sz val="10"/>
        <rFont val="宋体"/>
        <family val="0"/>
      </rPr>
      <t>公顷</t>
    </r>
  </si>
  <si>
    <r>
      <t xml:space="preserve">Weighted SD </t>
    </r>
    <r>
      <rPr>
        <sz val="10"/>
        <rFont val="宋体"/>
        <family val="0"/>
      </rPr>
      <t>称重标准差</t>
    </r>
  </si>
  <si>
    <r>
      <t xml:space="preserve">Weighted Total Variance  </t>
    </r>
    <r>
      <rPr>
        <sz val="10"/>
        <rFont val="宋体"/>
        <family val="0"/>
      </rPr>
      <t>称重总方差</t>
    </r>
  </si>
  <si>
    <t>Plot size (ha) （公顷）</t>
  </si>
  <si>
    <t>REQUIRED ERROR AND CONFIDENCE LEVEL 期望误差和置信水平</t>
  </si>
  <si>
    <t>INTERMEDIATE CALCULATIONS 中间计算</t>
  </si>
  <si>
    <t>ha 公顷</t>
  </si>
  <si>
    <r>
      <t xml:space="preserve">Total Sample Size  </t>
    </r>
    <r>
      <rPr>
        <sz val="10"/>
        <rFont val="宋体"/>
        <family val="0"/>
      </rPr>
      <t>总样地面积</t>
    </r>
  </si>
  <si>
    <t xml:space="preserve">                   SIZE AND VARIANCE OF EACH STRATA</t>
  </si>
  <si>
    <t>Number of Plots using                      AR-AM0001 Equations</t>
  </si>
  <si>
    <t>Total Sample Size</t>
  </si>
  <si>
    <r>
      <t>Cost C</t>
    </r>
    <r>
      <rPr>
        <vertAlign val="subscript"/>
        <sz val="11"/>
        <rFont val="Arial"/>
        <family val="2"/>
      </rPr>
      <t xml:space="preserve">h  </t>
    </r>
    <r>
      <rPr>
        <sz val="11"/>
        <rFont val="Arial"/>
        <family val="2"/>
      </rPr>
      <t>If no cost, put C</t>
    </r>
    <r>
      <rPr>
        <vertAlign val="subscript"/>
        <sz val="11"/>
        <rFont val="Arial"/>
        <family val="2"/>
      </rPr>
      <t>h</t>
    </r>
    <r>
      <rPr>
        <sz val="11"/>
        <rFont val="Arial"/>
        <family val="2"/>
      </rPr>
      <t xml:space="preserve"> =1</t>
    </r>
  </si>
  <si>
    <r>
      <t>W</t>
    </r>
    <r>
      <rPr>
        <vertAlign val="subscript"/>
        <sz val="10"/>
        <rFont val="Arial"/>
        <family val="2"/>
      </rPr>
      <t>h</t>
    </r>
    <r>
      <rPr>
        <sz val="10"/>
        <rFont val="Arial"/>
        <family val="2"/>
      </rPr>
      <t xml:space="preserve"> * s</t>
    </r>
    <r>
      <rPr>
        <vertAlign val="subscript"/>
        <sz val="10"/>
        <rFont val="Arial"/>
        <family val="2"/>
      </rPr>
      <t>h</t>
    </r>
    <r>
      <rPr>
        <sz val="10"/>
        <rFont val="Arial"/>
        <family val="2"/>
      </rPr>
      <t xml:space="preserve"> * sqrt C</t>
    </r>
    <r>
      <rPr>
        <vertAlign val="subscript"/>
        <sz val="10"/>
        <rFont val="Arial"/>
        <family val="2"/>
      </rPr>
      <t>h</t>
    </r>
  </si>
  <si>
    <r>
      <t>(W</t>
    </r>
    <r>
      <rPr>
        <vertAlign val="subscript"/>
        <sz val="10"/>
        <rFont val="Arial"/>
        <family val="2"/>
      </rPr>
      <t>h</t>
    </r>
    <r>
      <rPr>
        <sz val="10"/>
        <rFont val="Arial"/>
        <family val="2"/>
      </rPr>
      <t xml:space="preserve"> * s</t>
    </r>
    <r>
      <rPr>
        <vertAlign val="subscript"/>
        <sz val="10"/>
        <rFont val="Arial"/>
        <family val="2"/>
      </rPr>
      <t>h</t>
    </r>
    <r>
      <rPr>
        <sz val="10"/>
        <rFont val="Arial"/>
        <family val="2"/>
      </rPr>
      <t>) /sqrt C</t>
    </r>
    <r>
      <rPr>
        <vertAlign val="subscript"/>
        <sz val="10"/>
        <rFont val="Arial"/>
        <family val="2"/>
      </rPr>
      <t>h</t>
    </r>
  </si>
  <si>
    <r>
      <t>N</t>
    </r>
    <r>
      <rPr>
        <vertAlign val="subscript"/>
        <sz val="11"/>
        <rFont val="Arial"/>
        <family val="2"/>
      </rPr>
      <t>h</t>
    </r>
    <r>
      <rPr>
        <sz val="11"/>
        <rFont val="Arial"/>
        <family val="2"/>
      </rPr>
      <t>*s</t>
    </r>
  </si>
  <si>
    <r>
      <t>N</t>
    </r>
    <r>
      <rPr>
        <vertAlign val="subscript"/>
        <sz val="11"/>
        <rFont val="Arial"/>
        <family val="2"/>
      </rPr>
      <t>h</t>
    </r>
    <r>
      <rPr>
        <sz val="11"/>
        <rFont val="Arial"/>
        <family val="2"/>
      </rPr>
      <t>*s</t>
    </r>
    <r>
      <rPr>
        <vertAlign val="superscript"/>
        <sz val="11"/>
        <rFont val="Arial"/>
        <family val="2"/>
      </rPr>
      <t>2</t>
    </r>
  </si>
  <si>
    <r>
      <t>E</t>
    </r>
    <r>
      <rPr>
        <sz val="10"/>
        <rFont val="Arial"/>
        <family val="2"/>
      </rPr>
      <t xml:space="preserve">  = allowable error or the desired half-width of the confidence interval. Calculated by multiplying the mean carbon stock by the desired precision (i.e. mean carbon stock * 0.1 (for 10 % precision) or 0.2 (for 20 % precision)</t>
    </r>
  </si>
  <si>
    <t>Please reference the above manuals for methods to obtain information required for calculations in this excel file. These manuals can be found at : www.winrock.org</t>
  </si>
  <si>
    <t>This excel file can be used to calculate sampling size for terrestrial sampling and the estimated costs of conducting sampling</t>
  </si>
  <si>
    <t>Send an email to: CarbonServices@winrock.org with any questions you may have.</t>
  </si>
  <si>
    <t>b. Pearson, T., Walker, S.M., Brown, S., 2006 Sourcebook for Land Use, Land Use Change, and Forestry Projects. BioCarbonFund, Winrock International</t>
  </si>
  <si>
    <r>
      <t>This excel file is to be used as a companion to:</t>
    </r>
  </si>
  <si>
    <r>
      <t>Winrock Methods Manual for Measuring Terrestrial Carbon</t>
    </r>
    <r>
      <rPr>
        <vertAlign val="superscript"/>
        <sz val="20"/>
        <color indexed="62"/>
        <rFont val="Comic Sans MS"/>
        <family val="4"/>
      </rPr>
      <t>a</t>
    </r>
  </si>
  <si>
    <r>
      <t>Sourcebook for Land Use, Land Use Change, and Forestry Projects</t>
    </r>
    <r>
      <rPr>
        <vertAlign val="superscript"/>
        <sz val="18"/>
        <color indexed="17"/>
        <rFont val="Arial Rounded MT Bold"/>
        <family val="2"/>
      </rPr>
      <t>b</t>
    </r>
  </si>
  <si>
    <t>a. Brown, S., Pearson, T., Walker, S.M., MacDicken, K., and Shoch, D. 2006 Winrock Methods Manual for Measuring Terrestrial Carbon. Winrock International, www.winrock.org (to be published in 2006. Prior to its publication see: MacDicken, K.G. 1997. A Guide to Monitoring Carbon Storage in Forestry and Agroforestry Projects. Winrock International)</t>
  </si>
  <si>
    <t>Stratum Name</t>
  </si>
  <si>
    <t>Number of Plots using AR-AM0001 Equations</t>
  </si>
  <si>
    <t>Equipment and Supplies  设备和供应品</t>
  </si>
  <si>
    <t>Total project measurement cost- absence of any risk factors 项目总测量费用－不考虑风险因素</t>
  </si>
  <si>
    <t>Total project measurement cost accounting for risky events 项目总测量费用-考虑风险因素</t>
  </si>
  <si>
    <r>
      <t xml:space="preserve">Mean tonnes C/ha </t>
    </r>
    <r>
      <rPr>
        <sz val="10"/>
        <rFont val="宋体"/>
        <family val="0"/>
      </rPr>
      <t>平均碳量</t>
    </r>
    <r>
      <rPr>
        <sz val="10"/>
        <rFont val="Arial"/>
        <family val="2"/>
      </rPr>
      <t>/</t>
    </r>
    <r>
      <rPr>
        <sz val="10"/>
        <rFont val="宋体"/>
        <family val="0"/>
      </rPr>
      <t>公顷（吨）</t>
    </r>
  </si>
  <si>
    <r>
      <t>Standard Deviation (tonnes C/ha)</t>
    </r>
    <r>
      <rPr>
        <sz val="10"/>
        <rFont val="Arial"/>
        <family val="2"/>
      </rPr>
      <t xml:space="preserve">  </t>
    </r>
    <r>
      <rPr>
        <sz val="10"/>
        <rFont val="宋体"/>
        <family val="0"/>
      </rPr>
      <t>标准差（吨碳</t>
    </r>
    <r>
      <rPr>
        <sz val="10"/>
        <rFont val="Arial"/>
        <family val="2"/>
      </rPr>
      <t>/</t>
    </r>
    <r>
      <rPr>
        <sz val="10"/>
        <rFont val="宋体"/>
        <family val="0"/>
      </rPr>
      <t>公顷）</t>
    </r>
  </si>
  <si>
    <t>Eupatorium with Trees</t>
  </si>
  <si>
    <t>Eupatorium domin.</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</si>
</sst>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00"/>
    <numFmt numFmtId="177" formatCode="00000"/>
    <numFmt numFmtId="178" formatCode="0.0%"/>
    <numFmt numFmtId="179" formatCode="0.000"/>
    <numFmt numFmtId="180" formatCode="[Red][&lt;0]\-0.0%;[Red][&gt;1]0.0%;[Black]0.0%"/>
    <numFmt numFmtId="181" formatCode="[Red][&lt;0]General;[Black]General;[Black]General"/>
    <numFmt numFmtId="182" formatCode="[Red][&lt;0]\-General;[Black]General;[Black]General"/>
    <numFmt numFmtId="183" formatCode="[Red][&lt;0]\-&quot;$&quot;#,##0.00;&quot;$&quot;#,##0.00"/>
    <numFmt numFmtId="184" formatCode="0.00000000"/>
    <numFmt numFmtId="185" formatCode="0.0000000"/>
    <numFmt numFmtId="186" formatCode="0.000000"/>
    <numFmt numFmtId="187" formatCode="0.00000"/>
    <numFmt numFmtId="188" formatCode="0.0000"/>
    <numFmt numFmtId="189" formatCode="&quot;Yes&quot;;&quot;Yes&quot;;&quot;No&quot;"/>
    <numFmt numFmtId="190" formatCode="&quot;True&quot;;&quot;True&quot;;&quot;False&quot;"/>
    <numFmt numFmtId="191" formatCode="&quot;On&quot;;&quot;On&quot;;&quot;Off&quot;"/>
    <numFmt numFmtId="192" formatCode="[$€-2]\ #,##0.00_);[Red]\([$€-2]\ #,##0.00\)"/>
    <numFmt numFmtId="193" formatCode="0.0"/>
    <numFmt numFmtId="194" formatCode="_(* #,##0.000_);_(* \(#,##0.000\);_(* &quot;-&quot;??_);_(@_)"/>
  </numFmts>
  <fonts count="33">
    <font>
      <sz val="10"/>
      <name val="Arial"/>
      <family val="2"/>
    </font>
    <font>
      <u val="single"/>
      <sz val="10"/>
      <color indexed="12"/>
      <name val="Arial"/>
      <family val="2"/>
    </font>
    <font>
      <u val="single"/>
      <sz val="10"/>
      <color indexed="36"/>
      <name val="Arial"/>
      <family val="2"/>
    </font>
    <font>
      <sz val="8"/>
      <name val="Tahoma"/>
      <family val="2"/>
    </font>
    <font>
      <b/>
      <sz val="10"/>
      <name val="Arial"/>
      <family val="2"/>
    </font>
    <font>
      <i/>
      <sz val="10"/>
      <name val="Arial"/>
      <family val="2"/>
    </font>
    <font>
      <b/>
      <sz val="8"/>
      <name val="Tahoma"/>
      <family val="2"/>
    </font>
    <font>
      <b/>
      <sz val="16"/>
      <name val="Arial"/>
      <family val="2"/>
    </font>
    <font>
      <b/>
      <sz val="10"/>
      <color indexed="10"/>
      <name val="Arial"/>
      <family val="2"/>
    </font>
    <font>
      <sz val="10"/>
      <name val="宋体"/>
      <family val="0"/>
    </font>
    <font>
      <sz val="11"/>
      <name val="Arial"/>
      <family val="2"/>
    </font>
    <font>
      <b/>
      <sz val="10"/>
      <name val="宋体"/>
      <family val="0"/>
    </font>
    <font>
      <i/>
      <sz val="10"/>
      <name val="宋体"/>
      <family val="0"/>
    </font>
    <font>
      <sz val="12"/>
      <name val="Arial"/>
      <family val="0"/>
    </font>
    <font>
      <vertAlign val="subscript"/>
      <sz val="10"/>
      <name val="Arial"/>
      <family val="2"/>
    </font>
    <font>
      <b/>
      <sz val="11"/>
      <name val="Arial"/>
      <family val="0"/>
    </font>
    <font>
      <b/>
      <vertAlign val="subscript"/>
      <sz val="11"/>
      <name val="Arial"/>
      <family val="2"/>
    </font>
    <font>
      <vertAlign val="subscript"/>
      <sz val="11"/>
      <name val="Arial"/>
      <family val="2"/>
    </font>
    <font>
      <b/>
      <vertAlign val="superscript"/>
      <sz val="11"/>
      <name val="Arial"/>
      <family val="0"/>
    </font>
    <font>
      <vertAlign val="superscript"/>
      <sz val="14"/>
      <name val="Arial"/>
      <family val="2"/>
    </font>
    <font>
      <sz val="14"/>
      <name val="Arial"/>
      <family val="0"/>
    </font>
    <font>
      <b/>
      <vertAlign val="subscript"/>
      <sz val="10"/>
      <name val="Arial"/>
      <family val="2"/>
    </font>
    <font>
      <sz val="10"/>
      <color indexed="9"/>
      <name val="Arial"/>
      <family val="0"/>
    </font>
    <font>
      <sz val="10"/>
      <name val="Tahoma"/>
      <family val="2"/>
    </font>
    <font>
      <vertAlign val="superscript"/>
      <sz val="11"/>
      <name val="Arial"/>
      <family val="2"/>
    </font>
    <font>
      <sz val="10"/>
      <color indexed="10"/>
      <name val="Arial"/>
      <family val="0"/>
    </font>
    <font>
      <sz val="8"/>
      <name val="Arial"/>
      <family val="0"/>
    </font>
    <font>
      <vertAlign val="superscript"/>
      <sz val="20"/>
      <color indexed="62"/>
      <name val="Comic Sans MS"/>
      <family val="4"/>
    </font>
    <font>
      <sz val="20"/>
      <color indexed="62"/>
      <name val="Comic Sans MS"/>
      <family val="4"/>
    </font>
    <font>
      <vertAlign val="superscript"/>
      <sz val="18"/>
      <color indexed="17"/>
      <name val="Arial Rounded MT Bold"/>
      <family val="2"/>
    </font>
    <font>
      <sz val="18"/>
      <color indexed="17"/>
      <name val="Arial Rounded MT Bold"/>
      <family val="2"/>
    </font>
    <font>
      <sz val="7"/>
      <color indexed="8"/>
      <name val="Arial"/>
      <family val="2"/>
    </font>
    <font>
      <b/>
      <sz val="8"/>
      <name val="Arial"/>
      <family val="2"/>
    </font>
  </fonts>
  <fills count="1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5"/>
        <bgColor indexed="64"/>
      </patternFill>
    </fill>
    <fill>
      <patternFill patternType="solid">
        <fgColor indexed="26"/>
        <bgColor indexed="64"/>
      </patternFill>
    </fill>
  </fills>
  <borders count="27">
    <border>
      <left/>
      <right/>
      <top/>
      <bottom/>
      <diagonal/>
    </border>
    <border>
      <left style="thin"/>
      <right style="thin"/>
      <top style="thin"/>
      <bottom style="thin"/>
    </border>
    <border>
      <left style="thick"/>
      <right style="thick"/>
      <top style="thick"/>
      <bottom style="thick"/>
    </border>
    <border>
      <left style="thin">
        <color indexed="9"/>
      </left>
      <right style="thin">
        <color indexed="9"/>
      </right>
      <top style="thin">
        <color indexed="9"/>
      </top>
      <bottom style="thin">
        <color indexed="9"/>
      </bottom>
    </border>
    <border>
      <left>
        <color indexed="63"/>
      </left>
      <right style="thin"/>
      <top style="thin"/>
      <bottom style="thin"/>
    </border>
    <border>
      <left style="thin"/>
      <right>
        <color indexed="63"/>
      </right>
      <top style="thin"/>
      <bottom style="thin"/>
    </border>
    <border>
      <left style="thick"/>
      <right style="thick"/>
      <top style="thick"/>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medium"/>
      <right style="thin"/>
      <top style="thin"/>
      <bottom style="thin"/>
    </border>
    <border>
      <left style="thin"/>
      <right style="thick"/>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medium"/>
      <top style="thin"/>
      <bottom>
        <color indexed="63"/>
      </bottom>
    </border>
    <border>
      <left style="medium"/>
      <right style="thin"/>
      <top>
        <color indexed="63"/>
      </top>
      <bottom style="thin"/>
    </border>
    <border>
      <left style="thin"/>
      <right style="thick"/>
      <top>
        <color indexed="63"/>
      </top>
      <bottom style="thin"/>
    </border>
    <border>
      <left style="thick"/>
      <right style="thin"/>
      <top>
        <color indexed="63"/>
      </top>
      <bottom style="thin"/>
    </border>
    <border>
      <left style="thin"/>
      <right style="medium"/>
      <top>
        <color indexed="63"/>
      </top>
      <bottom style="thin"/>
    </border>
    <border>
      <left>
        <color indexed="63"/>
      </left>
      <right style="medium"/>
      <top style="thin"/>
      <bottom style="thin"/>
    </border>
  </borders>
  <cellStyleXfs count="5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0" fillId="3" borderId="1">
      <alignment wrapText="1"/>
      <protection/>
    </xf>
    <xf numFmtId="176" fontId="0" fillId="4" borderId="2">
      <alignment/>
      <protection locked="0"/>
    </xf>
    <xf numFmtId="183" fontId="0" fillId="4" borderId="2">
      <alignment/>
      <protection locked="0"/>
    </xf>
    <xf numFmtId="176" fontId="0" fillId="4" borderId="2">
      <alignment/>
      <protection locked="0"/>
    </xf>
    <xf numFmtId="0" fontId="0" fillId="3" borderId="1">
      <alignment/>
      <protection/>
    </xf>
    <xf numFmtId="0" fontId="0" fillId="3" borderId="1">
      <alignment/>
      <protection/>
    </xf>
    <xf numFmtId="0" fontId="0" fillId="4" borderId="2">
      <alignment wrapText="1"/>
      <protection locked="0"/>
    </xf>
    <xf numFmtId="182" fontId="0" fillId="4" borderId="2">
      <alignment wrapText="1"/>
      <protection locked="0"/>
    </xf>
    <xf numFmtId="182" fontId="0" fillId="4" borderId="2">
      <alignment wrapText="1"/>
      <protection locked="0"/>
    </xf>
    <xf numFmtId="180" fontId="0" fillId="4" borderId="2">
      <alignment wrapText="1"/>
      <protection locked="0"/>
    </xf>
    <xf numFmtId="180" fontId="0" fillId="4" borderId="2">
      <alignment wrapText="1"/>
      <protection locked="0"/>
    </xf>
    <xf numFmtId="0" fontId="0" fillId="4" borderId="2">
      <alignment wrapText="1"/>
      <protection locked="0"/>
    </xf>
    <xf numFmtId="0" fontId="0" fillId="5" borderId="1">
      <alignment wrapText="1"/>
      <protection/>
    </xf>
    <xf numFmtId="0" fontId="0" fillId="5" borderId="1">
      <alignment wrapText="1"/>
      <protection/>
    </xf>
    <xf numFmtId="49" fontId="1" fillId="6" borderId="1">
      <alignment/>
      <protection locked="0"/>
    </xf>
    <xf numFmtId="49" fontId="1" fillId="6" borderId="1">
      <alignment/>
      <protection locked="0"/>
    </xf>
    <xf numFmtId="49" fontId="4" fillId="5" borderId="1">
      <alignment horizontal="centerContinuous" wrapText="1"/>
      <protection/>
    </xf>
    <xf numFmtId="0" fontId="4" fillId="5" borderId="1">
      <alignment horizontal="center" vertical="center" wrapText="1"/>
      <protection/>
    </xf>
    <xf numFmtId="0" fontId="4" fillId="5" borderId="1">
      <alignment horizontal="center" vertical="center" wrapText="1"/>
      <protection/>
    </xf>
    <xf numFmtId="0" fontId="4" fillId="5" borderId="1">
      <alignment horizontal="center" vertical="center" wrapText="1"/>
      <protection/>
    </xf>
    <xf numFmtId="49" fontId="0" fillId="4" borderId="1">
      <alignment/>
      <protection locked="0"/>
    </xf>
    <xf numFmtId="0" fontId="0" fillId="2" borderId="0" applyNumberFormat="0">
      <alignment/>
      <protection/>
    </xf>
    <xf numFmtId="0" fontId="0" fillId="2" borderId="0" applyNumberFormat="0">
      <alignment/>
      <protection/>
    </xf>
    <xf numFmtId="49" fontId="0" fillId="5" borderId="1">
      <alignment horizontal="center" vertical="center" wrapText="1"/>
      <protection/>
    </xf>
    <xf numFmtId="0" fontId="7" fillId="5" borderId="1">
      <alignment horizontal="centerContinuous"/>
      <protection/>
    </xf>
    <xf numFmtId="0" fontId="4" fillId="5" borderId="1">
      <alignment wrapText="1"/>
      <protection/>
    </xf>
    <xf numFmtId="0" fontId="8" fillId="0" borderId="3">
      <alignment/>
      <protection/>
    </xf>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lignment/>
      <protection/>
    </xf>
    <xf numFmtId="9" fontId="0" fillId="0" borderId="0" applyFont="0" applyFill="0" applyBorder="0" applyAlignment="0" applyProtection="0"/>
  </cellStyleXfs>
  <cellXfs count="232">
    <xf numFmtId="0" fontId="0" fillId="2" borderId="0" xfId="0" applyAlignment="1">
      <alignment/>
    </xf>
    <xf numFmtId="0" fontId="0" fillId="0" borderId="0" xfId="0" applyFill="1" applyAlignment="1">
      <alignment/>
    </xf>
    <xf numFmtId="4" fontId="0" fillId="2" borderId="0" xfId="0" applyNumberFormat="1" applyAlignment="1">
      <alignment/>
    </xf>
    <xf numFmtId="4" fontId="0" fillId="0" borderId="0" xfId="0" applyNumberFormat="1" applyFill="1" applyAlignment="1">
      <alignment/>
    </xf>
    <xf numFmtId="0" fontId="0" fillId="0" borderId="0" xfId="0" applyFill="1" applyAlignment="1">
      <alignment wrapText="1"/>
    </xf>
    <xf numFmtId="0" fontId="0" fillId="0" borderId="0" xfId="0" applyFill="1" applyAlignment="1" quotePrefix="1">
      <alignment/>
    </xf>
    <xf numFmtId="176" fontId="0" fillId="3" borderId="1" xfId="19">
      <alignment wrapText="1"/>
      <protection/>
    </xf>
    <xf numFmtId="49" fontId="4" fillId="5" borderId="1" xfId="35">
      <alignment horizontal="centerContinuous" wrapText="1"/>
      <protection/>
    </xf>
    <xf numFmtId="0" fontId="0" fillId="5" borderId="1" xfId="31">
      <alignment wrapText="1"/>
      <protection/>
    </xf>
    <xf numFmtId="0" fontId="4" fillId="5" borderId="1" xfId="36">
      <alignment horizontal="center" vertical="center" wrapText="1"/>
      <protection/>
    </xf>
    <xf numFmtId="0" fontId="4" fillId="5" borderId="1" xfId="36" quotePrefix="1">
      <alignment horizontal="center" vertical="center" wrapText="1"/>
      <protection/>
    </xf>
    <xf numFmtId="0" fontId="0" fillId="3" borderId="1" xfId="23">
      <alignment/>
      <protection/>
    </xf>
    <xf numFmtId="0" fontId="7" fillId="5" borderId="1" xfId="43">
      <alignment horizontal="centerContinuous"/>
      <protection/>
    </xf>
    <xf numFmtId="0" fontId="0" fillId="5" borderId="1" xfId="31" applyFont="1">
      <alignment wrapText="1"/>
      <protection/>
    </xf>
    <xf numFmtId="0" fontId="5" fillId="5" borderId="1" xfId="31" applyFont="1" quotePrefix="1">
      <alignment wrapText="1"/>
      <protection/>
    </xf>
    <xf numFmtId="176" fontId="5" fillId="3" borderId="1" xfId="19" applyFont="1">
      <alignment wrapText="1"/>
      <protection/>
    </xf>
    <xf numFmtId="49" fontId="4" fillId="5" borderId="1" xfId="35" applyFont="1">
      <alignment horizontal="centerContinuous" wrapText="1"/>
      <protection/>
    </xf>
    <xf numFmtId="182" fontId="0" fillId="4" borderId="2" xfId="26">
      <alignment wrapText="1"/>
      <protection locked="0"/>
    </xf>
    <xf numFmtId="0" fontId="8" fillId="0" borderId="3" xfId="45">
      <alignment/>
      <protection/>
    </xf>
    <xf numFmtId="182" fontId="0" fillId="4" borderId="2" xfId="26" applyFont="1">
      <alignment wrapText="1"/>
      <protection locked="0"/>
    </xf>
    <xf numFmtId="183" fontId="0" fillId="4" borderId="2" xfId="21">
      <alignment/>
      <protection locked="0"/>
    </xf>
    <xf numFmtId="0" fontId="4" fillId="5" borderId="1" xfId="36" applyAlignment="1">
      <alignment horizontal="center" vertical="center"/>
      <protection/>
    </xf>
    <xf numFmtId="49" fontId="4" fillId="5" borderId="1" xfId="35" applyAlignment="1">
      <alignment horizontal="centerContinuous"/>
      <protection/>
    </xf>
    <xf numFmtId="49" fontId="4" fillId="5" borderId="1" xfId="35" applyAlignment="1">
      <alignment/>
      <protection/>
    </xf>
    <xf numFmtId="0" fontId="4" fillId="5" borderId="1" xfId="0" applyFont="1" applyFill="1" applyBorder="1" applyAlignment="1">
      <alignment/>
    </xf>
    <xf numFmtId="0" fontId="0" fillId="5" borderId="1" xfId="31" applyFont="1" quotePrefix="1">
      <alignment wrapText="1"/>
      <protection/>
    </xf>
    <xf numFmtId="0" fontId="0" fillId="5" borderId="4" xfId="31" applyBorder="1">
      <alignment wrapText="1"/>
      <protection/>
    </xf>
    <xf numFmtId="0" fontId="0" fillId="5" borderId="5" xfId="31" applyFont="1" applyBorder="1">
      <alignment wrapText="1"/>
      <protection/>
    </xf>
    <xf numFmtId="183" fontId="0" fillId="4" borderId="6" xfId="21" applyBorder="1">
      <alignment/>
      <protection locked="0"/>
    </xf>
    <xf numFmtId="0" fontId="0" fillId="5" borderId="5" xfId="31" applyFont="1" applyBorder="1" applyProtection="1">
      <alignment wrapText="1"/>
      <protection/>
    </xf>
    <xf numFmtId="0" fontId="0" fillId="5" borderId="4" xfId="31" applyBorder="1" applyProtection="1">
      <alignment wrapText="1"/>
      <protection/>
    </xf>
    <xf numFmtId="176" fontId="0" fillId="3" borderId="7" xfId="19" applyBorder="1">
      <alignment wrapText="1"/>
      <protection/>
    </xf>
    <xf numFmtId="183" fontId="0" fillId="3" borderId="8" xfId="21" applyFill="1" applyBorder="1" applyProtection="1">
      <alignment/>
      <protection/>
    </xf>
    <xf numFmtId="183" fontId="0" fillId="3" borderId="7" xfId="21" applyFill="1" applyBorder="1" applyProtection="1">
      <alignment/>
      <protection/>
    </xf>
    <xf numFmtId="183" fontId="0" fillId="4" borderId="2" xfId="21" applyBorder="1">
      <alignment/>
      <protection locked="0"/>
    </xf>
    <xf numFmtId="49" fontId="1" fillId="6" borderId="1" xfId="47" applyAlignment="1" applyProtection="1">
      <alignment/>
      <protection/>
    </xf>
    <xf numFmtId="49" fontId="1" fillId="6" borderId="1" xfId="33" applyProtection="1">
      <alignment/>
      <protection/>
    </xf>
    <xf numFmtId="49" fontId="1" fillId="6" borderId="1" xfId="47" applyAlignment="1" applyProtection="1">
      <alignment/>
      <protection/>
    </xf>
    <xf numFmtId="182" fontId="0" fillId="3" borderId="1" xfId="23" applyNumberFormat="1">
      <alignment/>
      <protection/>
    </xf>
    <xf numFmtId="0" fontId="9" fillId="2" borderId="0" xfId="0" applyFont="1" applyAlignment="1">
      <alignment/>
    </xf>
    <xf numFmtId="0" fontId="0" fillId="5" borderId="8" xfId="36" applyFont="1" applyBorder="1" applyAlignment="1">
      <alignment horizontal="left" vertical="center" wrapText="1"/>
      <protection/>
    </xf>
    <xf numFmtId="49" fontId="4" fillId="5" borderId="1" xfId="35" applyAlignment="1">
      <alignment horizontal="left" wrapText="1"/>
      <protection/>
    </xf>
    <xf numFmtId="0" fontId="0" fillId="2" borderId="0" xfId="0" applyAlignment="1">
      <alignment horizontal="left"/>
    </xf>
    <xf numFmtId="49" fontId="4" fillId="5" borderId="1" xfId="35" applyFont="1" applyAlignment="1">
      <alignment horizontal="left" wrapText="1"/>
      <protection/>
    </xf>
    <xf numFmtId="0" fontId="0" fillId="5" borderId="1" xfId="31" applyAlignment="1">
      <alignment horizontal="left" wrapText="1"/>
      <protection/>
    </xf>
    <xf numFmtId="182" fontId="0" fillId="4" borderId="2" xfId="26" applyAlignment="1">
      <alignment horizontal="left" wrapText="1"/>
      <protection locked="0"/>
    </xf>
    <xf numFmtId="0" fontId="8" fillId="0" borderId="3" xfId="45" applyAlignment="1">
      <alignment horizontal="left"/>
      <protection/>
    </xf>
    <xf numFmtId="0" fontId="4" fillId="5" borderId="1" xfId="36" applyFont="1" applyAlignment="1">
      <alignment horizontal="left" vertical="center"/>
      <protection/>
    </xf>
    <xf numFmtId="0" fontId="4" fillId="5" borderId="1" xfId="36" applyFont="1" applyAlignment="1">
      <alignment horizontal="left" vertical="center" wrapText="1"/>
      <protection/>
    </xf>
    <xf numFmtId="0" fontId="4" fillId="5" borderId="1" xfId="44" applyFont="1">
      <alignment wrapText="1"/>
      <protection/>
    </xf>
    <xf numFmtId="0" fontId="4" fillId="5" borderId="1" xfId="36" applyFont="1">
      <alignment horizontal="center" vertical="center" wrapText="1"/>
      <protection/>
    </xf>
    <xf numFmtId="0" fontId="11" fillId="5" borderId="1" xfId="0" applyFont="1" applyFill="1" applyBorder="1" applyAlignment="1">
      <alignment/>
    </xf>
    <xf numFmtId="0" fontId="4" fillId="5" borderId="1" xfId="36" applyFont="1" applyAlignment="1">
      <alignment horizontal="center" vertical="center"/>
      <protection/>
    </xf>
    <xf numFmtId="0" fontId="4" fillId="5" borderId="1" xfId="36" applyFont="1" quotePrefix="1">
      <alignment horizontal="center" vertical="center" wrapText="1"/>
      <protection/>
    </xf>
    <xf numFmtId="0" fontId="7" fillId="5" borderId="1" xfId="43" applyProtection="1">
      <alignment horizontal="centerContinuous"/>
      <protection/>
    </xf>
    <xf numFmtId="0" fontId="0" fillId="2" borderId="0" xfId="49" applyProtection="1">
      <alignment/>
      <protection/>
    </xf>
    <xf numFmtId="0" fontId="0" fillId="2" borderId="0" xfId="41" applyFont="1" applyProtection="1">
      <alignment/>
      <protection/>
    </xf>
    <xf numFmtId="0" fontId="0" fillId="2" borderId="0" xfId="49" applyBorder="1" applyProtection="1">
      <alignment/>
      <protection/>
    </xf>
    <xf numFmtId="0" fontId="0" fillId="5" borderId="4" xfId="32" applyBorder="1" applyProtection="1">
      <alignment wrapText="1"/>
      <protection/>
    </xf>
    <xf numFmtId="0" fontId="0" fillId="2" borderId="0" xfId="41" applyProtection="1">
      <alignment/>
      <protection/>
    </xf>
    <xf numFmtId="9" fontId="0" fillId="2" borderId="0" xfId="41" applyNumberFormat="1" applyProtection="1" quotePrefix="1">
      <alignment/>
      <protection/>
    </xf>
    <xf numFmtId="180" fontId="0" fillId="4" borderId="1" xfId="29" applyBorder="1" applyProtection="1">
      <alignment wrapText="1"/>
      <protection locked="0"/>
    </xf>
    <xf numFmtId="0" fontId="0" fillId="3" borderId="1" xfId="27" applyNumberFormat="1" applyFont="1" applyFill="1" applyBorder="1" applyProtection="1">
      <alignment wrapText="1"/>
      <protection/>
    </xf>
    <xf numFmtId="182" fontId="0" fillId="4" borderId="1" xfId="27" applyBorder="1" applyProtection="1">
      <alignment wrapText="1"/>
      <protection locked="0"/>
    </xf>
    <xf numFmtId="0" fontId="0" fillId="2" borderId="0" xfId="49" applyAlignment="1" applyProtection="1">
      <alignment horizontal="center" wrapText="1"/>
      <protection/>
    </xf>
    <xf numFmtId="0" fontId="0" fillId="2" borderId="0" xfId="49" applyBorder="1" applyAlignment="1" applyProtection="1">
      <alignment horizontal="center" wrapText="1"/>
      <protection/>
    </xf>
    <xf numFmtId="0" fontId="0" fillId="4" borderId="4" xfId="24" applyFill="1" applyBorder="1" applyProtection="1">
      <alignment/>
      <protection locked="0"/>
    </xf>
    <xf numFmtId="182" fontId="0" fillId="2" borderId="0" xfId="49" applyNumberFormat="1" applyProtection="1">
      <alignment/>
      <protection/>
    </xf>
    <xf numFmtId="182" fontId="0" fillId="7" borderId="9" xfId="49" applyNumberFormat="1" applyFill="1" applyBorder="1" applyProtection="1">
      <alignment/>
      <protection/>
    </xf>
    <xf numFmtId="182" fontId="0" fillId="3" borderId="1" xfId="24" applyNumberFormat="1" applyProtection="1">
      <alignment/>
      <protection/>
    </xf>
    <xf numFmtId="49" fontId="1" fillId="0" borderId="0" xfId="34" applyFont="1" applyFill="1" applyBorder="1" applyProtection="1">
      <alignment/>
      <protection/>
    </xf>
    <xf numFmtId="182" fontId="0" fillId="7" borderId="0" xfId="49" applyNumberFormat="1" applyFill="1" applyBorder="1" applyProtection="1">
      <alignment/>
      <protection/>
    </xf>
    <xf numFmtId="0" fontId="0" fillId="3" borderId="1" xfId="24" applyProtection="1">
      <alignment/>
      <protection/>
    </xf>
    <xf numFmtId="0" fontId="0" fillId="2" borderId="0" xfId="49" applyFont="1">
      <alignment/>
      <protection/>
    </xf>
    <xf numFmtId="0" fontId="1" fillId="2" borderId="0" xfId="48" applyAlignment="1" applyProtection="1">
      <alignment/>
      <protection/>
    </xf>
    <xf numFmtId="0" fontId="22" fillId="2" borderId="0" xfId="49" applyFont="1" applyProtection="1">
      <alignment/>
      <protection/>
    </xf>
    <xf numFmtId="180" fontId="0" fillId="4" borderId="1" xfId="29" applyBorder="1" applyProtection="1" quotePrefix="1">
      <alignment wrapText="1"/>
      <protection locked="0"/>
    </xf>
    <xf numFmtId="0" fontId="0" fillId="2" borderId="0" xfId="49" applyProtection="1" quotePrefix="1">
      <alignment/>
      <protection/>
    </xf>
    <xf numFmtId="0" fontId="0" fillId="3" borderId="1" xfId="24" applyBorder="1" applyProtection="1" quotePrefix="1">
      <alignment/>
      <protection/>
    </xf>
    <xf numFmtId="0" fontId="0" fillId="4" borderId="10" xfId="24" applyFill="1" applyBorder="1" applyProtection="1">
      <alignment/>
      <protection locked="0"/>
    </xf>
    <xf numFmtId="0" fontId="0" fillId="3" borderId="8" xfId="24" applyFill="1" applyBorder="1" applyProtection="1">
      <alignment/>
      <protection/>
    </xf>
    <xf numFmtId="49" fontId="1" fillId="0" borderId="0" xfId="48" applyFont="1" applyFill="1" applyBorder="1" applyAlignment="1" applyProtection="1">
      <alignment/>
      <protection/>
    </xf>
    <xf numFmtId="0" fontId="7" fillId="5" borderId="1" xfId="43" applyFont="1" applyProtection="1">
      <alignment horizontal="centerContinuous"/>
      <protection/>
    </xf>
    <xf numFmtId="0" fontId="0" fillId="5" borderId="5" xfId="38" applyFont="1" applyBorder="1" applyProtection="1">
      <alignment horizontal="center" vertical="center" wrapText="1"/>
      <protection/>
    </xf>
    <xf numFmtId="0" fontId="0" fillId="5" borderId="11" xfId="36" applyFont="1" applyBorder="1" applyAlignment="1">
      <alignment horizontal="center" vertical="center" wrapText="1"/>
      <protection/>
    </xf>
    <xf numFmtId="0" fontId="0" fillId="5" borderId="12" xfId="38" applyFont="1" applyBorder="1" applyAlignment="1" applyProtection="1">
      <alignment horizontal="center" vertical="center" wrapText="1"/>
      <protection/>
    </xf>
    <xf numFmtId="0" fontId="0" fillId="5" borderId="1" xfId="36" applyFont="1" applyBorder="1" applyAlignment="1">
      <alignment horizontal="center" vertical="center" wrapText="1"/>
      <protection/>
    </xf>
    <xf numFmtId="49" fontId="0" fillId="5" borderId="1" xfId="35" applyFont="1" applyAlignment="1" applyProtection="1">
      <alignment horizontal="center" wrapText="1"/>
      <protection/>
    </xf>
    <xf numFmtId="0" fontId="0" fillId="5" borderId="1" xfId="31" applyFont="1" applyAlignment="1">
      <alignment horizontal="center" wrapText="1"/>
      <protection/>
    </xf>
    <xf numFmtId="49" fontId="4" fillId="5" borderId="1" xfId="35" applyProtection="1">
      <alignment horizontal="centerContinuous" wrapText="1"/>
      <protection/>
    </xf>
    <xf numFmtId="0" fontId="0" fillId="5" borderId="5" xfId="32" applyBorder="1" applyProtection="1">
      <alignment wrapText="1"/>
      <protection/>
    </xf>
    <xf numFmtId="0" fontId="0" fillId="5" borderId="1" xfId="32" applyProtection="1">
      <alignment wrapText="1"/>
      <protection/>
    </xf>
    <xf numFmtId="0" fontId="0" fillId="4" borderId="5" xfId="24" applyFill="1" applyBorder="1" applyProtection="1">
      <alignment/>
      <protection locked="0"/>
    </xf>
    <xf numFmtId="182" fontId="0" fillId="4" borderId="5" xfId="49" applyNumberFormat="1" applyFill="1" applyBorder="1" applyProtection="1">
      <alignment/>
      <protection locked="0"/>
    </xf>
    <xf numFmtId="182" fontId="0" fillId="7" borderId="13" xfId="49" applyNumberFormat="1" applyFill="1" applyBorder="1" applyProtection="1">
      <alignment/>
      <protection/>
    </xf>
    <xf numFmtId="182" fontId="0" fillId="8" borderId="9" xfId="49" applyNumberFormat="1" applyFill="1" applyBorder="1" applyProtection="1">
      <alignment/>
      <protection/>
    </xf>
    <xf numFmtId="0" fontId="0" fillId="8" borderId="9" xfId="49" applyFill="1" applyBorder="1" applyProtection="1">
      <alignment/>
      <protection/>
    </xf>
    <xf numFmtId="182" fontId="0" fillId="3" borderId="9" xfId="27" applyFont="1" applyFill="1" applyBorder="1" applyProtection="1">
      <alignment wrapText="1"/>
      <protection/>
    </xf>
    <xf numFmtId="9" fontId="0" fillId="3" borderId="14" xfId="50" applyFill="1" applyBorder="1" applyAlignment="1" applyProtection="1">
      <alignment/>
      <protection/>
    </xf>
    <xf numFmtId="182" fontId="0" fillId="3" borderId="15" xfId="49" applyNumberFormat="1" applyFill="1" applyBorder="1" applyProtection="1">
      <alignment/>
      <protection/>
    </xf>
    <xf numFmtId="182" fontId="0" fillId="7" borderId="15" xfId="49" applyNumberFormat="1" applyFill="1" applyBorder="1" applyProtection="1">
      <alignment/>
      <protection/>
    </xf>
    <xf numFmtId="182" fontId="0" fillId="8" borderId="0" xfId="49" applyNumberFormat="1" applyFill="1" applyBorder="1" applyProtection="1">
      <alignment/>
      <protection/>
    </xf>
    <xf numFmtId="0" fontId="0" fillId="8" borderId="0" xfId="49" applyFill="1" applyBorder="1" applyProtection="1">
      <alignment/>
      <protection/>
    </xf>
    <xf numFmtId="182" fontId="0" fillId="3" borderId="0" xfId="27" applyFont="1" applyFill="1" applyBorder="1" applyProtection="1">
      <alignment wrapText="1"/>
      <protection/>
    </xf>
    <xf numFmtId="9" fontId="0" fillId="3" borderId="16" xfId="50" applyFill="1" applyBorder="1" applyAlignment="1" applyProtection="1">
      <alignment/>
      <protection/>
    </xf>
    <xf numFmtId="182" fontId="0" fillId="3" borderId="17" xfId="49" applyNumberFormat="1" applyFill="1" applyBorder="1" applyProtection="1">
      <alignment/>
      <protection/>
    </xf>
    <xf numFmtId="182" fontId="0" fillId="7" borderId="17" xfId="49" applyNumberFormat="1" applyFill="1" applyBorder="1" applyProtection="1">
      <alignment/>
      <protection/>
    </xf>
    <xf numFmtId="182" fontId="0" fillId="7" borderId="18" xfId="49" applyNumberFormat="1" applyFill="1" applyBorder="1" applyProtection="1">
      <alignment/>
      <protection/>
    </xf>
    <xf numFmtId="182" fontId="0" fillId="8" borderId="18" xfId="49" applyNumberFormat="1" applyFill="1" applyBorder="1" applyProtection="1">
      <alignment/>
      <protection/>
    </xf>
    <xf numFmtId="0" fontId="0" fillId="8" borderId="18" xfId="49" applyFill="1" applyBorder="1" applyProtection="1">
      <alignment/>
      <protection/>
    </xf>
    <xf numFmtId="182" fontId="0" fillId="3" borderId="18" xfId="27" applyFont="1" applyFill="1" applyBorder="1" applyProtection="1">
      <alignment wrapText="1"/>
      <protection/>
    </xf>
    <xf numFmtId="9" fontId="0" fillId="3" borderId="19" xfId="50" applyFill="1" applyBorder="1" applyAlignment="1" applyProtection="1">
      <alignment/>
      <protection/>
    </xf>
    <xf numFmtId="182" fontId="20" fillId="9" borderId="13" xfId="49" applyNumberFormat="1" applyFont="1" applyFill="1" applyBorder="1" applyProtection="1">
      <alignment/>
      <protection/>
    </xf>
    <xf numFmtId="0" fontId="0" fillId="9" borderId="9" xfId="49" applyFill="1" applyBorder="1" applyProtection="1">
      <alignment/>
      <protection/>
    </xf>
    <xf numFmtId="182" fontId="0" fillId="9" borderId="9" xfId="49" applyNumberFormat="1" applyFill="1" applyBorder="1" applyProtection="1">
      <alignment/>
      <protection/>
    </xf>
    <xf numFmtId="0" fontId="0" fillId="9" borderId="14" xfId="49" applyFill="1" applyBorder="1" applyProtection="1">
      <alignment/>
      <protection/>
    </xf>
    <xf numFmtId="0" fontId="0" fillId="9" borderId="15" xfId="49" applyFill="1" applyBorder="1" applyProtection="1">
      <alignment/>
      <protection/>
    </xf>
    <xf numFmtId="0" fontId="0" fillId="9" borderId="0" xfId="49" applyFill="1" applyBorder="1" applyProtection="1">
      <alignment/>
      <protection/>
    </xf>
    <xf numFmtId="182" fontId="0" fillId="9" borderId="0" xfId="49" applyNumberFormat="1" applyFill="1" applyBorder="1" applyProtection="1">
      <alignment/>
      <protection/>
    </xf>
    <xf numFmtId="0" fontId="0" fillId="9" borderId="16" xfId="49" applyFill="1" applyBorder="1" applyProtection="1">
      <alignment/>
      <protection/>
    </xf>
    <xf numFmtId="182" fontId="0" fillId="3" borderId="1" xfId="24" applyNumberFormat="1" applyFill="1" applyProtection="1">
      <alignment/>
      <protection/>
    </xf>
    <xf numFmtId="182" fontId="0" fillId="3" borderId="1" xfId="24" applyNumberFormat="1" applyFont="1" applyFill="1" applyProtection="1">
      <alignment/>
      <protection/>
    </xf>
    <xf numFmtId="0" fontId="4" fillId="5" borderId="5" xfId="38" applyBorder="1" applyProtection="1">
      <alignment horizontal="center" vertical="center" wrapText="1"/>
      <protection/>
    </xf>
    <xf numFmtId="0" fontId="20" fillId="9" borderId="15" xfId="49" applyFont="1" applyFill="1" applyBorder="1" applyProtection="1">
      <alignment/>
      <protection/>
    </xf>
    <xf numFmtId="0" fontId="4" fillId="5" borderId="5" xfId="44" applyBorder="1" applyAlignment="1" applyProtection="1">
      <alignment/>
      <protection/>
    </xf>
    <xf numFmtId="0" fontId="0" fillId="9" borderId="17" xfId="49" applyFill="1" applyBorder="1" applyProtection="1">
      <alignment/>
      <protection/>
    </xf>
    <xf numFmtId="0" fontId="0" fillId="9" borderId="18" xfId="49" applyFill="1" applyBorder="1" applyProtection="1">
      <alignment/>
      <protection/>
    </xf>
    <xf numFmtId="0" fontId="0" fillId="9" borderId="19" xfId="49" applyFill="1" applyBorder="1" applyProtection="1">
      <alignment/>
      <protection/>
    </xf>
    <xf numFmtId="1" fontId="0" fillId="3" borderId="1" xfId="23" applyNumberFormat="1">
      <alignment/>
      <protection/>
    </xf>
    <xf numFmtId="182" fontId="0" fillId="4" borderId="7" xfId="27" applyBorder="1" applyProtection="1">
      <alignment wrapText="1"/>
      <protection locked="0"/>
    </xf>
    <xf numFmtId="182" fontId="0" fillId="4" borderId="10" xfId="49" applyNumberFormat="1" applyFill="1" applyBorder="1" applyProtection="1">
      <alignment/>
      <protection locked="0"/>
    </xf>
    <xf numFmtId="182" fontId="0" fillId="3" borderId="20" xfId="49" applyNumberFormat="1" applyFill="1" applyBorder="1" applyProtection="1">
      <alignment/>
      <protection/>
    </xf>
    <xf numFmtId="182" fontId="0" fillId="3" borderId="7" xfId="49" applyNumberFormat="1" applyFill="1" applyBorder="1" applyProtection="1">
      <alignment/>
      <protection/>
    </xf>
    <xf numFmtId="0" fontId="0" fillId="5" borderId="5" xfId="32" applyFont="1" applyBorder="1" applyProtection="1">
      <alignment wrapText="1"/>
      <protection/>
    </xf>
    <xf numFmtId="0" fontId="4" fillId="5" borderId="5" xfId="44" applyFont="1" applyBorder="1" applyAlignment="1" applyProtection="1">
      <alignment/>
      <protection/>
    </xf>
    <xf numFmtId="0" fontId="0" fillId="5" borderId="8" xfId="36" applyFont="1" applyBorder="1" applyAlignment="1">
      <alignment horizontal="center" vertical="center" wrapText="1"/>
      <protection/>
    </xf>
    <xf numFmtId="0" fontId="0" fillId="5" borderId="8" xfId="37" applyFont="1" applyBorder="1" applyAlignment="1">
      <alignment horizontal="center" vertical="center" wrapText="1"/>
      <protection/>
    </xf>
    <xf numFmtId="0" fontId="0" fillId="5" borderId="1" xfId="36" applyFont="1" applyAlignment="1">
      <alignment horizontal="center" vertical="center" wrapText="1"/>
      <protection/>
    </xf>
    <xf numFmtId="0" fontId="0" fillId="5" borderId="7" xfId="38" applyFont="1" applyBorder="1" applyAlignment="1" applyProtection="1">
      <alignment horizontal="center" vertical="center" wrapText="1"/>
      <protection/>
    </xf>
    <xf numFmtId="0" fontId="10" fillId="5" borderId="7" xfId="38" applyFont="1" applyBorder="1" applyAlignment="1" applyProtection="1">
      <alignment horizontal="center" vertical="center" wrapText="1"/>
      <protection/>
    </xf>
    <xf numFmtId="0" fontId="10" fillId="5" borderId="20" xfId="38" applyFont="1" applyBorder="1" applyAlignment="1" applyProtection="1">
      <alignment horizontal="center" vertical="center" wrapText="1"/>
      <protection/>
    </xf>
    <xf numFmtId="0" fontId="10" fillId="5" borderId="15" xfId="38" applyFont="1" applyBorder="1" applyAlignment="1" applyProtection="1">
      <alignment horizontal="center" vertical="center" wrapText="1"/>
      <protection/>
    </xf>
    <xf numFmtId="0" fontId="0" fillId="5" borderId="12" xfId="38" applyFont="1" applyBorder="1" applyAlignment="1" applyProtection="1">
      <alignment horizontal="center" vertical="center" wrapText="1"/>
      <protection/>
    </xf>
    <xf numFmtId="0" fontId="0" fillId="5" borderId="21" xfId="38" applyFont="1" applyBorder="1" applyAlignment="1" applyProtection="1">
      <alignment horizontal="center" vertical="center" wrapText="1"/>
      <protection/>
    </xf>
    <xf numFmtId="0" fontId="0" fillId="5" borderId="21" xfId="38" applyFont="1" applyBorder="1" applyAlignment="1" applyProtection="1">
      <alignment horizontal="center" vertical="center" wrapText="1"/>
      <protection/>
    </xf>
    <xf numFmtId="43" fontId="0" fillId="3" borderId="9" xfId="15" applyFont="1" applyFill="1" applyBorder="1" applyAlignment="1" applyProtection="1">
      <alignment wrapText="1"/>
      <protection/>
    </xf>
    <xf numFmtId="43" fontId="0" fillId="3" borderId="0" xfId="15" applyFont="1" applyFill="1" applyBorder="1" applyAlignment="1" applyProtection="1">
      <alignment wrapText="1"/>
      <protection/>
    </xf>
    <xf numFmtId="43" fontId="0" fillId="3" borderId="18" xfId="15" applyFont="1" applyFill="1" applyBorder="1" applyAlignment="1" applyProtection="1">
      <alignment wrapText="1"/>
      <protection/>
    </xf>
    <xf numFmtId="43" fontId="0" fillId="7" borderId="13" xfId="15" applyFill="1" applyBorder="1" applyAlignment="1" applyProtection="1">
      <alignment/>
      <protection/>
    </xf>
    <xf numFmtId="0" fontId="0" fillId="5" borderId="20" xfId="36" applyFont="1" applyBorder="1" applyProtection="1">
      <alignment horizontal="center" vertical="center" wrapText="1"/>
      <protection/>
    </xf>
    <xf numFmtId="0" fontId="0" fillId="4" borderId="1" xfId="25" applyFont="1" applyFill="1" applyBorder="1" applyProtection="1">
      <alignment wrapText="1"/>
      <protection locked="0"/>
    </xf>
    <xf numFmtId="0" fontId="0" fillId="4" borderId="1" xfId="25" applyFill="1" applyBorder="1" applyProtection="1">
      <alignment wrapText="1"/>
      <protection locked="0"/>
    </xf>
    <xf numFmtId="49" fontId="0" fillId="5" borderId="18" xfId="35" applyFont="1" applyBorder="1" applyProtection="1">
      <alignment horizontal="centerContinuous" wrapText="1"/>
      <protection/>
    </xf>
    <xf numFmtId="0" fontId="0" fillId="5" borderId="5" xfId="36" applyFont="1" applyBorder="1" applyProtection="1">
      <alignment horizontal="center" vertical="center" wrapText="1"/>
      <protection/>
    </xf>
    <xf numFmtId="0" fontId="0" fillId="5" borderId="10" xfId="31" applyBorder="1" applyAlignment="1" applyProtection="1">
      <alignment horizontal="left" wrapText="1"/>
      <protection/>
    </xf>
    <xf numFmtId="0" fontId="0" fillId="5" borderId="5" xfId="31" applyBorder="1" applyProtection="1">
      <alignment wrapText="1"/>
      <protection/>
    </xf>
    <xf numFmtId="0" fontId="4" fillId="5" borderId="4" xfId="44" applyFont="1" applyBorder="1" applyAlignment="1" applyProtection="1">
      <alignment/>
      <protection/>
    </xf>
    <xf numFmtId="49" fontId="4" fillId="5" borderId="17" xfId="35" applyBorder="1" applyProtection="1">
      <alignment horizontal="centerContinuous" wrapText="1"/>
      <protection/>
    </xf>
    <xf numFmtId="49" fontId="0" fillId="5" borderId="22" xfId="35" applyFont="1" applyBorder="1" applyProtection="1">
      <alignment horizontal="centerContinuous" wrapText="1"/>
      <protection/>
    </xf>
    <xf numFmtId="49" fontId="0" fillId="5" borderId="23" xfId="35" applyFont="1" applyBorder="1" applyProtection="1">
      <alignment horizontal="centerContinuous" wrapText="1"/>
      <protection/>
    </xf>
    <xf numFmtId="49" fontId="0" fillId="5" borderId="24" xfId="35" applyFont="1" applyBorder="1" applyProtection="1">
      <alignment horizontal="centerContinuous" wrapText="1"/>
      <protection/>
    </xf>
    <xf numFmtId="49" fontId="0" fillId="5" borderId="25" xfId="35" applyFont="1" applyBorder="1" applyProtection="1">
      <alignment horizontal="centerContinuous" wrapText="1"/>
      <protection/>
    </xf>
    <xf numFmtId="49" fontId="0" fillId="5" borderId="17" xfId="35" applyFont="1" applyBorder="1" applyProtection="1">
      <alignment horizontal="centerContinuous" wrapText="1"/>
      <protection/>
    </xf>
    <xf numFmtId="0" fontId="0" fillId="5" borderId="5" xfId="25" applyFont="1" applyFill="1" applyBorder="1" applyProtection="1">
      <alignment wrapText="1"/>
      <protection/>
    </xf>
    <xf numFmtId="0" fontId="0" fillId="5" borderId="1" xfId="25" applyFont="1" applyFill="1" applyBorder="1" applyProtection="1">
      <alignment wrapText="1"/>
      <protection/>
    </xf>
    <xf numFmtId="0" fontId="0" fillId="4" borderId="1" xfId="0" applyFill="1" applyBorder="1" applyAlignment="1" applyProtection="1">
      <alignment/>
      <protection locked="0"/>
    </xf>
    <xf numFmtId="182" fontId="0" fillId="4" borderId="1" xfId="26" applyBorder="1" applyProtection="1">
      <alignment wrapText="1"/>
      <protection locked="0"/>
    </xf>
    <xf numFmtId="49" fontId="4" fillId="5" borderId="5" xfId="35" applyBorder="1" applyAlignment="1">
      <alignment horizontal="center" wrapText="1"/>
      <protection/>
    </xf>
    <xf numFmtId="49" fontId="1" fillId="6" borderId="1" xfId="47" applyBorder="1" applyAlignment="1" applyProtection="1">
      <alignment/>
      <protection locked="0"/>
    </xf>
    <xf numFmtId="2" fontId="0" fillId="7" borderId="1" xfId="23" applyNumberFormat="1" applyFont="1" applyFill="1" applyBorder="1" applyProtection="1">
      <alignment/>
      <protection/>
    </xf>
    <xf numFmtId="1" fontId="0" fillId="7" borderId="5" xfId="23" applyNumberFormat="1" applyFont="1" applyFill="1" applyBorder="1" applyProtection="1">
      <alignment/>
      <protection/>
    </xf>
    <xf numFmtId="2" fontId="0" fillId="8" borderId="1" xfId="0" applyNumberFormat="1" applyFont="1" applyFill="1" applyBorder="1" applyAlignment="1" applyProtection="1">
      <alignment/>
      <protection/>
    </xf>
    <xf numFmtId="1" fontId="4" fillId="7" borderId="5" xfId="23" applyNumberFormat="1" applyFont="1" applyFill="1" applyBorder="1" applyAlignment="1" applyProtection="1">
      <alignment horizontal="center"/>
      <protection/>
    </xf>
    <xf numFmtId="1" fontId="4" fillId="8" borderId="1" xfId="23" applyNumberFormat="1" applyFont="1" applyFill="1" applyBorder="1" applyAlignment="1" applyProtection="1">
      <alignment horizontal="center"/>
      <protection/>
    </xf>
    <xf numFmtId="0" fontId="4" fillId="7" borderId="1" xfId="44" applyFill="1" applyBorder="1" applyProtection="1">
      <alignment wrapText="1"/>
      <protection/>
    </xf>
    <xf numFmtId="0" fontId="4" fillId="7" borderId="5" xfId="23" applyFont="1" applyFill="1" applyBorder="1" applyAlignment="1" applyProtection="1">
      <alignment horizontal="center"/>
      <protection/>
    </xf>
    <xf numFmtId="0" fontId="4" fillId="8" borderId="1" xfId="44" applyFont="1" applyFill="1" applyBorder="1" applyAlignment="1" applyProtection="1">
      <alignment horizontal="right" wrapText="1"/>
      <protection/>
    </xf>
    <xf numFmtId="2" fontId="0" fillId="4" borderId="10" xfId="24" applyNumberFormat="1" applyFill="1" applyBorder="1" applyProtection="1">
      <alignment/>
      <protection locked="0"/>
    </xf>
    <xf numFmtId="0" fontId="20" fillId="2" borderId="0" xfId="49" applyFont="1" applyAlignment="1" applyProtection="1">
      <alignment/>
      <protection/>
    </xf>
    <xf numFmtId="0" fontId="0" fillId="2" borderId="0" xfId="49" applyAlignment="1" applyProtection="1">
      <alignment/>
      <protection/>
    </xf>
    <xf numFmtId="0" fontId="28" fillId="2" borderId="0" xfId="49" applyFont="1" applyProtection="1">
      <alignment/>
      <protection/>
    </xf>
    <xf numFmtId="0" fontId="30" fillId="2" borderId="0" xfId="49" applyFont="1" applyProtection="1">
      <alignment/>
      <protection/>
    </xf>
    <xf numFmtId="0" fontId="20" fillId="2" borderId="0" xfId="49" applyFont="1" applyAlignment="1" applyProtection="1">
      <alignment wrapText="1"/>
      <protection/>
    </xf>
    <xf numFmtId="0" fontId="20" fillId="2" borderId="0" xfId="49" applyFont="1" applyProtection="1">
      <alignment/>
      <protection/>
    </xf>
    <xf numFmtId="0" fontId="13" fillId="2" borderId="0" xfId="49" applyFont="1" applyProtection="1">
      <alignment/>
      <protection/>
    </xf>
    <xf numFmtId="0" fontId="0" fillId="2" borderId="0" xfId="49" applyAlignment="1" applyProtection="1">
      <alignment wrapText="1"/>
      <protection/>
    </xf>
    <xf numFmtId="0" fontId="1" fillId="2" borderId="0" xfId="48" applyFont="1" applyAlignment="1" applyProtection="1">
      <alignment/>
      <protection/>
    </xf>
    <xf numFmtId="0" fontId="31" fillId="2" borderId="0" xfId="49" applyFont="1" applyProtection="1">
      <alignment/>
      <protection/>
    </xf>
    <xf numFmtId="0" fontId="0" fillId="2" borderId="0" xfId="49" applyAlignment="1" applyProtection="1">
      <alignment wrapText="1"/>
      <protection/>
    </xf>
    <xf numFmtId="0" fontId="13" fillId="2" borderId="0" xfId="49" applyFont="1" applyAlignment="1" applyProtection="1">
      <alignment wrapText="1"/>
      <protection/>
    </xf>
    <xf numFmtId="0" fontId="20" fillId="2" borderId="0" xfId="49" applyFont="1" applyAlignment="1" applyProtection="1">
      <alignment wrapText="1"/>
      <protection/>
    </xf>
    <xf numFmtId="0" fontId="0" fillId="2" borderId="0" xfId="49" applyFont="1" applyAlignment="1" applyProtection="1">
      <alignment wrapText="1"/>
      <protection/>
    </xf>
    <xf numFmtId="0" fontId="0" fillId="5" borderId="13" xfId="32" applyBorder="1" applyProtection="1">
      <alignment wrapText="1"/>
      <protection/>
    </xf>
    <xf numFmtId="0" fontId="0" fillId="5" borderId="14" xfId="32" applyBorder="1" applyProtection="1">
      <alignment wrapText="1"/>
      <protection/>
    </xf>
    <xf numFmtId="0" fontId="25" fillId="2" borderId="15" xfId="49" applyFont="1" applyBorder="1" applyAlignment="1" applyProtection="1">
      <alignment vertical="top" wrapText="1"/>
      <protection/>
    </xf>
    <xf numFmtId="0" fontId="25" fillId="2" borderId="16" xfId="49" applyFont="1" applyBorder="1" applyAlignment="1" applyProtection="1">
      <alignment vertical="top" wrapText="1"/>
      <protection/>
    </xf>
    <xf numFmtId="49" fontId="0" fillId="5" borderId="5" xfId="35" applyFont="1" applyBorder="1" applyAlignment="1">
      <alignment horizontal="center" wrapText="1"/>
      <protection/>
    </xf>
    <xf numFmtId="49" fontId="0" fillId="5" borderId="10" xfId="35" applyFont="1" applyBorder="1" applyAlignment="1">
      <alignment horizontal="center" wrapText="1"/>
      <protection/>
    </xf>
    <xf numFmtId="49" fontId="0" fillId="5" borderId="4" xfId="35" applyFont="1" applyBorder="1" applyAlignment="1">
      <alignment horizontal="center" wrapText="1"/>
      <protection/>
    </xf>
    <xf numFmtId="49" fontId="4" fillId="5" borderId="5" xfId="35" applyFont="1" applyBorder="1" applyAlignment="1">
      <alignment horizontal="center" wrapText="1"/>
      <protection/>
    </xf>
    <xf numFmtId="49" fontId="4" fillId="5" borderId="10" xfId="35" applyFont="1" applyBorder="1" applyAlignment="1">
      <alignment horizontal="center" wrapText="1"/>
      <protection/>
    </xf>
    <xf numFmtId="49" fontId="4" fillId="5" borderId="4" xfId="35" applyFont="1" applyBorder="1" applyAlignment="1">
      <alignment horizontal="center" wrapText="1"/>
      <protection/>
    </xf>
    <xf numFmtId="0" fontId="4" fillId="9" borderId="15" xfId="49" applyFont="1" applyFill="1" applyBorder="1" applyAlignment="1" applyProtection="1">
      <alignment wrapText="1"/>
      <protection/>
    </xf>
    <xf numFmtId="0" fontId="4" fillId="9" borderId="0" xfId="49" applyFont="1" applyFill="1" applyBorder="1" applyAlignment="1" applyProtection="1">
      <alignment wrapText="1"/>
      <protection/>
    </xf>
    <xf numFmtId="0" fontId="4" fillId="9" borderId="16" xfId="49" applyFont="1" applyFill="1" applyBorder="1" applyAlignment="1" applyProtection="1">
      <alignment wrapText="1"/>
      <protection/>
    </xf>
    <xf numFmtId="49" fontId="4" fillId="5" borderId="5" xfId="35" applyFont="1" applyFill="1" applyBorder="1" applyAlignment="1" applyProtection="1">
      <alignment horizontal="center" wrapText="1"/>
      <protection/>
    </xf>
    <xf numFmtId="49" fontId="4" fillId="5" borderId="10" xfId="35" applyFont="1" applyFill="1" applyBorder="1" applyAlignment="1" applyProtection="1">
      <alignment horizontal="center" wrapText="1"/>
      <protection/>
    </xf>
    <xf numFmtId="49" fontId="4" fillId="5" borderId="4" xfId="35" applyFont="1" applyFill="1" applyBorder="1" applyAlignment="1" applyProtection="1">
      <alignment horizontal="center" wrapText="1"/>
      <protection/>
    </xf>
    <xf numFmtId="49" fontId="0" fillId="5" borderId="5" xfId="35" applyFont="1" applyBorder="1" applyAlignment="1" applyProtection="1">
      <alignment horizontal="center" wrapText="1"/>
      <protection/>
    </xf>
    <xf numFmtId="49" fontId="0" fillId="5" borderId="10" xfId="35" applyFont="1" applyBorder="1" applyAlignment="1" applyProtection="1">
      <alignment horizontal="center" wrapText="1"/>
      <protection/>
    </xf>
    <xf numFmtId="49" fontId="0" fillId="5" borderId="4" xfId="35" applyFont="1" applyBorder="1" applyAlignment="1" applyProtection="1">
      <alignment horizontal="center" wrapText="1"/>
      <protection/>
    </xf>
    <xf numFmtId="0" fontId="0" fillId="5" borderId="13" xfId="31" applyFont="1" applyBorder="1">
      <alignment wrapText="1"/>
      <protection/>
    </xf>
    <xf numFmtId="0" fontId="0" fillId="5" borderId="14" xfId="31" applyFont="1" applyBorder="1">
      <alignment wrapText="1"/>
      <protection/>
    </xf>
    <xf numFmtId="0" fontId="4" fillId="9" borderId="15" xfId="49" applyFont="1" applyFill="1" applyBorder="1" applyProtection="1">
      <alignment/>
      <protection/>
    </xf>
    <xf numFmtId="0" fontId="4" fillId="9" borderId="0" xfId="49" applyFont="1" applyFill="1" applyBorder="1" applyProtection="1">
      <alignment/>
      <protection/>
    </xf>
    <xf numFmtId="0" fontId="4" fillId="9" borderId="16" xfId="49" applyFont="1" applyFill="1" applyBorder="1" applyProtection="1">
      <alignment/>
      <protection/>
    </xf>
    <xf numFmtId="0" fontId="0" fillId="5" borderId="5" xfId="31" applyFont="1" applyBorder="1">
      <alignment wrapText="1"/>
      <protection/>
    </xf>
    <xf numFmtId="0" fontId="0" fillId="5" borderId="26" xfId="31" applyFont="1" applyBorder="1">
      <alignment wrapText="1"/>
      <protection/>
    </xf>
    <xf numFmtId="0" fontId="7" fillId="5" borderId="5" xfId="43" applyBorder="1" applyAlignment="1" applyProtection="1">
      <alignment horizontal="center"/>
      <protection/>
    </xf>
    <xf numFmtId="0" fontId="7" fillId="5" borderId="10" xfId="43" applyBorder="1" applyAlignment="1" applyProtection="1">
      <alignment horizontal="center"/>
      <protection/>
    </xf>
    <xf numFmtId="0" fontId="7" fillId="5" borderId="4" xfId="43" applyBorder="1" applyAlignment="1" applyProtection="1">
      <alignment horizontal="center"/>
      <protection/>
    </xf>
    <xf numFmtId="49" fontId="0" fillId="5" borderId="1" xfId="42">
      <alignment horizontal="center" vertical="center" wrapText="1"/>
      <protection/>
    </xf>
    <xf numFmtId="0" fontId="4" fillId="5" borderId="5" xfId="36" applyBorder="1" applyAlignment="1">
      <alignment horizontal="center" vertical="center" wrapText="1"/>
      <protection/>
    </xf>
    <xf numFmtId="0" fontId="4" fillId="5" borderId="10" xfId="36" applyBorder="1" applyAlignment="1">
      <alignment horizontal="center" vertical="center" wrapText="1"/>
      <protection/>
    </xf>
    <xf numFmtId="0" fontId="4" fillId="5" borderId="4" xfId="36" applyBorder="1" applyAlignment="1">
      <alignment horizontal="center" vertical="center" wrapText="1"/>
      <protection/>
    </xf>
    <xf numFmtId="0" fontId="0" fillId="5" borderId="5" xfId="31" applyBorder="1" applyAlignment="1">
      <alignment wrapText="1"/>
      <protection/>
    </xf>
    <xf numFmtId="0" fontId="0" fillId="5" borderId="10" xfId="31" applyBorder="1" applyAlignment="1">
      <alignment wrapText="1"/>
      <protection/>
    </xf>
    <xf numFmtId="0" fontId="0" fillId="5" borderId="4" xfId="31" applyBorder="1" applyAlignment="1">
      <alignment wrapText="1"/>
      <protection/>
    </xf>
    <xf numFmtId="0" fontId="4" fillId="5" borderId="5" xfId="36" applyFont="1" applyBorder="1">
      <alignment horizontal="center" vertical="center" wrapText="1"/>
      <protection/>
    </xf>
    <xf numFmtId="0" fontId="4" fillId="5" borderId="10" xfId="36" applyFont="1" applyBorder="1">
      <alignment horizontal="center" vertical="center" wrapText="1"/>
      <protection/>
    </xf>
    <xf numFmtId="0" fontId="4" fillId="5" borderId="4" xfId="36" applyFont="1" applyBorder="1">
      <alignment horizontal="center" vertical="center" wrapText="1"/>
      <protection/>
    </xf>
    <xf numFmtId="49" fontId="0" fillId="5" borderId="1" xfId="42" applyFont="1">
      <alignment horizontal="center" vertical="center" wrapText="1"/>
      <protection/>
    </xf>
  </cellXfs>
  <cellStyles count="37">
    <cellStyle name="Normal" xfId="0"/>
    <cellStyle name="Comma" xfId="15"/>
    <cellStyle name="Comma [0]" xfId="16"/>
    <cellStyle name="Currency" xfId="17"/>
    <cellStyle name="Currency [0]" xfId="18"/>
    <cellStyle name="dar Currency Calculated" xfId="19"/>
    <cellStyle name="dar Currency Entry" xfId="20"/>
    <cellStyle name="dar Currency Entry non-negative" xfId="21"/>
    <cellStyle name="dar Currency Entry_Winrock Sampling Calculator" xfId="22"/>
    <cellStyle name="dar Data Calculated" xfId="23"/>
    <cellStyle name="dar Data Calculated_Winrock Sampling Calculator" xfId="24"/>
    <cellStyle name="dar Data Entry" xfId="25"/>
    <cellStyle name="dar Data Entry non-negative" xfId="26"/>
    <cellStyle name="dar Data Entry non-negative_Winrock Sampling Calculator" xfId="27"/>
    <cellStyle name="dar Data Entry Percent" xfId="28"/>
    <cellStyle name="dar Data Entry Percent_Winrock Sampling Calculator" xfId="29"/>
    <cellStyle name="dar Data Entry_Winrock Sampling Calculator" xfId="30"/>
    <cellStyle name="dar Data Prompt &amp; misc" xfId="31"/>
    <cellStyle name="dar Data Prompt &amp; misc_Winrock Sampling Calculator" xfId="32"/>
    <cellStyle name="dar Go To Next" xfId="33"/>
    <cellStyle name="dar Go To Next_Winrock Sampling Calculator" xfId="34"/>
    <cellStyle name="dar Major Heading" xfId="35"/>
    <cellStyle name="dar Minor Heading" xfId="36"/>
    <cellStyle name="dar Minor Heading_plot calculator 取样成本计算器" xfId="37"/>
    <cellStyle name="dar Minor Heading_Winrock Sampling Calculator" xfId="38"/>
    <cellStyle name="dar Next Entry" xfId="39"/>
    <cellStyle name="dar Notes" xfId="40"/>
    <cellStyle name="dar Notes_Winrock Sampling Calculator" xfId="41"/>
    <cellStyle name="dar Sheet subtitle" xfId="42"/>
    <cellStyle name="dar Sheet Title" xfId="43"/>
    <cellStyle name="dar Total" xfId="44"/>
    <cellStyle name="dar Warning" xfId="45"/>
    <cellStyle name="Followed Hyperlink" xfId="46"/>
    <cellStyle name="Hyperlink" xfId="47"/>
    <cellStyle name="Hyperlink_Winrock Sampling Calculator" xfId="48"/>
    <cellStyle name="Normal_Winrock Sampling Calculator" xfId="49"/>
    <cellStyle name="Percent" xfId="5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7.png" /><Relationship Id="rId3"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5.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1.emf" /><Relationship Id="rId4" Type="http://schemas.openxmlformats.org/officeDocument/2006/relationships/image" Target="../media/image5.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3</xdr:row>
      <xdr:rowOff>76200</xdr:rowOff>
    </xdr:from>
    <xdr:to>
      <xdr:col>2</xdr:col>
      <xdr:colOff>38100</xdr:colOff>
      <xdr:row>4</xdr:row>
      <xdr:rowOff>19050</xdr:rowOff>
    </xdr:to>
    <xdr:pic>
      <xdr:nvPicPr>
        <xdr:cNvPr id="1" name="Picture 1"/>
        <xdr:cNvPicPr preferRelativeResize="1">
          <a:picLocks noChangeAspect="1"/>
        </xdr:cNvPicPr>
      </xdr:nvPicPr>
      <xdr:blipFill>
        <a:blip r:embed="rId1"/>
        <a:stretch>
          <a:fillRect/>
        </a:stretch>
      </xdr:blipFill>
      <xdr:spPr>
        <a:xfrm>
          <a:off x="142875" y="847725"/>
          <a:ext cx="676275" cy="266700"/>
        </a:xfrm>
        <a:prstGeom prst="rect">
          <a:avLst/>
        </a:prstGeom>
        <a:noFill/>
        <a:ln w="9525" cmpd="sng">
          <a:noFill/>
        </a:ln>
      </xdr:spPr>
    </xdr:pic>
    <xdr:clientData/>
  </xdr:twoCellAnchor>
  <xdr:twoCellAnchor editAs="oneCell">
    <xdr:from>
      <xdr:col>2</xdr:col>
      <xdr:colOff>161925</xdr:colOff>
      <xdr:row>3</xdr:row>
      <xdr:rowOff>76200</xdr:rowOff>
    </xdr:from>
    <xdr:to>
      <xdr:col>2</xdr:col>
      <xdr:colOff>514350</xdr:colOff>
      <xdr:row>4</xdr:row>
      <xdr:rowOff>28575</xdr:rowOff>
    </xdr:to>
    <xdr:pic>
      <xdr:nvPicPr>
        <xdr:cNvPr id="2" name="Picture 2"/>
        <xdr:cNvPicPr preferRelativeResize="1">
          <a:picLocks noChangeAspect="1"/>
        </xdr:cNvPicPr>
      </xdr:nvPicPr>
      <xdr:blipFill>
        <a:blip r:embed="rId2"/>
        <a:stretch>
          <a:fillRect/>
        </a:stretch>
      </xdr:blipFill>
      <xdr:spPr>
        <a:xfrm>
          <a:off x="942975" y="847725"/>
          <a:ext cx="352425" cy="276225"/>
        </a:xfrm>
        <a:prstGeom prst="rect">
          <a:avLst/>
        </a:prstGeom>
        <a:noFill/>
        <a:ln w="9525" cmpd="sng">
          <a:noFill/>
        </a:ln>
      </xdr:spPr>
    </xdr:pic>
    <xdr:clientData/>
  </xdr:twoCellAnchor>
  <xdr:twoCellAnchor editAs="oneCell">
    <xdr:from>
      <xdr:col>1</xdr:col>
      <xdr:colOff>19050</xdr:colOff>
      <xdr:row>2</xdr:row>
      <xdr:rowOff>104775</xdr:rowOff>
    </xdr:from>
    <xdr:to>
      <xdr:col>2</xdr:col>
      <xdr:colOff>571500</xdr:colOff>
      <xdr:row>2</xdr:row>
      <xdr:rowOff>352425</xdr:rowOff>
    </xdr:to>
    <xdr:pic>
      <xdr:nvPicPr>
        <xdr:cNvPr id="3" name="Picture 3"/>
        <xdr:cNvPicPr preferRelativeResize="1">
          <a:picLocks noChangeAspect="1"/>
        </xdr:cNvPicPr>
      </xdr:nvPicPr>
      <xdr:blipFill>
        <a:blip r:embed="rId3"/>
        <a:stretch>
          <a:fillRect/>
        </a:stretch>
      </xdr:blipFill>
      <xdr:spPr>
        <a:xfrm>
          <a:off x="209550" y="457200"/>
          <a:ext cx="114300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46</xdr:row>
      <xdr:rowOff>38100</xdr:rowOff>
    </xdr:from>
    <xdr:to>
      <xdr:col>3</xdr:col>
      <xdr:colOff>342900</xdr:colOff>
      <xdr:row>50</xdr:row>
      <xdr:rowOff>133350</xdr:rowOff>
    </xdr:to>
    <xdr:pic>
      <xdr:nvPicPr>
        <xdr:cNvPr id="1" name="Picture 8"/>
        <xdr:cNvPicPr preferRelativeResize="1">
          <a:picLocks noChangeAspect="1"/>
        </xdr:cNvPicPr>
      </xdr:nvPicPr>
      <xdr:blipFill>
        <a:blip r:embed="rId1"/>
        <a:stretch>
          <a:fillRect/>
        </a:stretch>
      </xdr:blipFill>
      <xdr:spPr>
        <a:xfrm>
          <a:off x="57150" y="9782175"/>
          <a:ext cx="422910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46</xdr:row>
      <xdr:rowOff>57150</xdr:rowOff>
    </xdr:from>
    <xdr:to>
      <xdr:col>3</xdr:col>
      <xdr:colOff>457200</xdr:colOff>
      <xdr:row>51</xdr:row>
      <xdr:rowOff>133350</xdr:rowOff>
    </xdr:to>
    <xdr:pic>
      <xdr:nvPicPr>
        <xdr:cNvPr id="1" name="Picture 3"/>
        <xdr:cNvPicPr preferRelativeResize="1">
          <a:picLocks noChangeAspect="1"/>
        </xdr:cNvPicPr>
      </xdr:nvPicPr>
      <xdr:blipFill>
        <a:blip r:embed="rId1"/>
        <a:stretch>
          <a:fillRect/>
        </a:stretch>
      </xdr:blipFill>
      <xdr:spPr>
        <a:xfrm>
          <a:off x="57150" y="9696450"/>
          <a:ext cx="4229100" cy="895350"/>
        </a:xfrm>
        <a:prstGeom prst="rect">
          <a:avLst/>
        </a:prstGeom>
        <a:noFill/>
        <a:ln w="9525" cmpd="sng">
          <a:noFill/>
        </a:ln>
      </xdr:spPr>
    </xdr:pic>
    <xdr:clientData/>
  </xdr:twoCellAnchor>
  <xdr:twoCellAnchor>
    <xdr:from>
      <xdr:col>6</xdr:col>
      <xdr:colOff>171450</xdr:colOff>
      <xdr:row>40</xdr:row>
      <xdr:rowOff>19050</xdr:rowOff>
    </xdr:from>
    <xdr:to>
      <xdr:col>12</xdr:col>
      <xdr:colOff>9525</xdr:colOff>
      <xdr:row>45</xdr:row>
      <xdr:rowOff>95250</xdr:rowOff>
    </xdr:to>
    <xdr:pic>
      <xdr:nvPicPr>
        <xdr:cNvPr id="2" name="Picture 6"/>
        <xdr:cNvPicPr preferRelativeResize="1">
          <a:picLocks noChangeAspect="1"/>
        </xdr:cNvPicPr>
      </xdr:nvPicPr>
      <xdr:blipFill>
        <a:blip r:embed="rId2"/>
        <a:stretch>
          <a:fillRect/>
        </a:stretch>
      </xdr:blipFill>
      <xdr:spPr>
        <a:xfrm>
          <a:off x="6810375" y="8686800"/>
          <a:ext cx="2952750" cy="885825"/>
        </a:xfrm>
        <a:prstGeom prst="rect">
          <a:avLst/>
        </a:prstGeom>
        <a:solidFill>
          <a:srgbClr val="FF99CC"/>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arbonServices@winrock.org" TargetMode="External" /><Relationship Id="rId2" Type="http://schemas.openxmlformats.org/officeDocument/2006/relationships/hyperlink" Target="http://www.winrock.org/" TargetMode="External" /><Relationship Id="rId3" Type="http://schemas.openxmlformats.org/officeDocument/2006/relationships/comments" Target="../comments2.xml" /><Relationship Id="rId4" Type="http://schemas.openxmlformats.org/officeDocument/2006/relationships/oleObject" Target="../embeddings/oleObject_1_0.bin" /><Relationship Id="rId5" Type="http://schemas.openxmlformats.org/officeDocument/2006/relationships/oleObject" Target="../embeddings/oleObject_1_1.bin" /><Relationship Id="rId6" Type="http://schemas.openxmlformats.org/officeDocument/2006/relationships/oleObject" Target="../embeddings/oleObject_1_2.bin" /><Relationship Id="rId7" Type="http://schemas.openxmlformats.org/officeDocument/2006/relationships/oleObject" Target="../embeddings/oleObject_1_3.bin" /><Relationship Id="rId8" Type="http://schemas.openxmlformats.org/officeDocument/2006/relationships/oleObject" Target="../embeddings/oleObject_1_4.bin" /><Relationship Id="rId9" Type="http://schemas.openxmlformats.org/officeDocument/2006/relationships/vmlDrawing" Target="../drawings/vmlDrawing1.vml" /><Relationship Id="rId10" Type="http://schemas.openxmlformats.org/officeDocument/2006/relationships/drawing" Target="../drawings/drawing2.xm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arbonServices@winrock.org" TargetMode="External" /><Relationship Id="rId2" Type="http://schemas.openxmlformats.org/officeDocument/2006/relationships/hyperlink" Target="http://www.winrock.org/" TargetMode="External" /><Relationship Id="rId3" Type="http://schemas.openxmlformats.org/officeDocument/2006/relationships/comments" Target="../comments3.xml" /><Relationship Id="rId4" Type="http://schemas.openxmlformats.org/officeDocument/2006/relationships/oleObject" Target="../embeddings/oleObject_2_0.bin" /><Relationship Id="rId5" Type="http://schemas.openxmlformats.org/officeDocument/2006/relationships/oleObject" Target="../embeddings/oleObject_2_1.bin" /><Relationship Id="rId6" Type="http://schemas.openxmlformats.org/officeDocument/2006/relationships/oleObject" Target="../embeddings/oleObject_2_2.bin" /><Relationship Id="rId7" Type="http://schemas.openxmlformats.org/officeDocument/2006/relationships/oleObject" Target="../embeddings/oleObject_2_3.bin" /><Relationship Id="rId8" Type="http://schemas.openxmlformats.org/officeDocument/2006/relationships/vmlDrawing" Target="../drawings/vmlDrawing2.vml" /><Relationship Id="rId9" Type="http://schemas.openxmlformats.org/officeDocument/2006/relationships/drawing" Target="../drawings/drawing3.xm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N22"/>
  <sheetViews>
    <sheetView tabSelected="1" workbookViewId="0" topLeftCell="A1">
      <selection activeCell="A1" sqref="A1"/>
    </sheetView>
  </sheetViews>
  <sheetFormatPr defaultColWidth="9.140625" defaultRowHeight="12.75"/>
  <cols>
    <col min="1" max="1" width="2.8515625" style="55" customWidth="1"/>
    <col min="2" max="16384" width="8.8515625" style="55" customWidth="1"/>
  </cols>
  <sheetData>
    <row r="1" ht="18">
      <c r="B1" s="178" t="s">
        <v>214</v>
      </c>
    </row>
    <row r="2" ht="9.75" customHeight="1">
      <c r="B2" s="178"/>
    </row>
    <row r="3" spans="2:4" ht="33">
      <c r="B3" s="179"/>
      <c r="D3" s="180" t="s">
        <v>215</v>
      </c>
    </row>
    <row r="4" spans="2:4" ht="25.5">
      <c r="B4" s="179"/>
      <c r="D4" s="181" t="s">
        <v>216</v>
      </c>
    </row>
    <row r="5" ht="12.75">
      <c r="B5" s="179"/>
    </row>
    <row r="6" spans="2:14" ht="12.75">
      <c r="B6" s="190" t="s">
        <v>210</v>
      </c>
      <c r="C6" s="190"/>
      <c r="D6" s="190"/>
      <c r="E6" s="190"/>
      <c r="F6" s="190"/>
      <c r="G6" s="190"/>
      <c r="H6" s="190"/>
      <c r="I6" s="190"/>
      <c r="J6" s="190"/>
      <c r="K6" s="190"/>
      <c r="L6" s="190"/>
      <c r="M6" s="190"/>
      <c r="N6" s="190"/>
    </row>
    <row r="7" spans="2:14" ht="19.5" customHeight="1">
      <c r="B7" s="190"/>
      <c r="C7" s="190"/>
      <c r="D7" s="190"/>
      <c r="E7" s="190"/>
      <c r="F7" s="190"/>
      <c r="G7" s="190"/>
      <c r="H7" s="190"/>
      <c r="I7" s="190"/>
      <c r="J7" s="190"/>
      <c r="K7" s="190"/>
      <c r="L7" s="190"/>
      <c r="M7" s="190"/>
      <c r="N7" s="190"/>
    </row>
    <row r="8" spans="2:14" ht="7.5" customHeight="1">
      <c r="B8" s="182"/>
      <c r="C8" s="182"/>
      <c r="D8" s="182"/>
      <c r="E8" s="182"/>
      <c r="F8" s="182"/>
      <c r="G8" s="182"/>
      <c r="H8" s="182"/>
      <c r="I8" s="182"/>
      <c r="J8" s="182"/>
      <c r="K8" s="182"/>
      <c r="L8" s="182"/>
      <c r="M8" s="182"/>
      <c r="N8" s="182"/>
    </row>
    <row r="9" spans="2:14" ht="33" customHeight="1">
      <c r="B9" s="190" t="s">
        <v>211</v>
      </c>
      <c r="C9" s="190"/>
      <c r="D9" s="190"/>
      <c r="E9" s="190"/>
      <c r="F9" s="190"/>
      <c r="G9" s="190"/>
      <c r="H9" s="190"/>
      <c r="I9" s="190"/>
      <c r="J9" s="190"/>
      <c r="K9" s="190"/>
      <c r="L9" s="190"/>
      <c r="M9" s="190"/>
      <c r="N9" s="190"/>
    </row>
    <row r="10" ht="9.75" customHeight="1">
      <c r="B10" s="183"/>
    </row>
    <row r="11" spans="2:14" ht="17.25" customHeight="1">
      <c r="B11" s="189" t="s">
        <v>212</v>
      </c>
      <c r="C11" s="189"/>
      <c r="D11" s="189"/>
      <c r="E11" s="189"/>
      <c r="F11" s="189"/>
      <c r="G11" s="189"/>
      <c r="H11" s="189"/>
      <c r="I11" s="189"/>
      <c r="J11" s="189"/>
      <c r="K11" s="189"/>
      <c r="L11" s="189"/>
      <c r="M11" s="189"/>
      <c r="N11" s="189"/>
    </row>
    <row r="13" ht="15">
      <c r="B13" s="184"/>
    </row>
    <row r="14" spans="2:13" ht="40.5" customHeight="1">
      <c r="B14" s="191" t="s">
        <v>217</v>
      </c>
      <c r="C14" s="188"/>
      <c r="D14" s="188"/>
      <c r="E14" s="188"/>
      <c r="F14" s="188"/>
      <c r="G14" s="188"/>
      <c r="H14" s="188"/>
      <c r="I14" s="188"/>
      <c r="J14" s="188"/>
      <c r="K14" s="188"/>
      <c r="L14" s="188"/>
      <c r="M14" s="188"/>
    </row>
    <row r="15" spans="2:13" ht="27" customHeight="1">
      <c r="B15" s="188" t="s">
        <v>213</v>
      </c>
      <c r="C15" s="188"/>
      <c r="D15" s="188"/>
      <c r="E15" s="188"/>
      <c r="F15" s="188"/>
      <c r="G15" s="188"/>
      <c r="H15" s="188"/>
      <c r="I15" s="188"/>
      <c r="J15" s="188"/>
      <c r="K15" s="188"/>
      <c r="L15" s="188"/>
      <c r="M15" s="188"/>
    </row>
    <row r="18" spans="2:13" ht="27" customHeight="1">
      <c r="B18" s="185"/>
      <c r="C18" s="185"/>
      <c r="D18" s="185"/>
      <c r="E18" s="185"/>
      <c r="F18" s="185"/>
      <c r="G18" s="185"/>
      <c r="H18" s="185"/>
      <c r="I18" s="185"/>
      <c r="J18" s="185"/>
      <c r="K18" s="185"/>
      <c r="L18" s="185"/>
      <c r="M18" s="185"/>
    </row>
    <row r="21" ht="12.75">
      <c r="C21" s="186"/>
    </row>
    <row r="22" ht="12.75">
      <c r="C22" s="187"/>
    </row>
  </sheetData>
  <sheetProtection password="DDAD" sheet="1" objects="1" scenarios="1"/>
  <mergeCells count="5">
    <mergeCell ref="B15:M15"/>
    <mergeCell ref="B11:N11"/>
    <mergeCell ref="B6:N7"/>
    <mergeCell ref="B9:N9"/>
    <mergeCell ref="B14:M14"/>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57"/>
  <sheetViews>
    <sheetView zoomScale="60" zoomScaleNormal="60" workbookViewId="0" topLeftCell="A1">
      <selection activeCell="D14" sqref="D14"/>
    </sheetView>
  </sheetViews>
  <sheetFormatPr defaultColWidth="9.140625" defaultRowHeight="12.75"/>
  <cols>
    <col min="1" max="1" width="26.8515625" style="55" customWidth="1"/>
    <col min="2" max="2" width="19.57421875" style="55" customWidth="1"/>
    <col min="3" max="3" width="12.7109375" style="55" customWidth="1"/>
    <col min="4" max="4" width="13.00390625" style="55" customWidth="1"/>
    <col min="5" max="5" width="11.8515625" style="55" customWidth="1"/>
    <col min="6" max="6" width="10.57421875" style="55" customWidth="1"/>
    <col min="7" max="7" width="10.421875" style="55" customWidth="1"/>
    <col min="8" max="8" width="7.8515625" style="55" customWidth="1"/>
    <col min="9" max="9" width="8.8515625" style="55" customWidth="1"/>
    <col min="10" max="10" width="9.421875" style="55" customWidth="1"/>
    <col min="11" max="11" width="8.28125" style="55" customWidth="1"/>
    <col min="12" max="12" width="11.140625" style="55" customWidth="1"/>
    <col min="13" max="13" width="12.140625" style="55" customWidth="1"/>
    <col min="14" max="15" width="8.8515625" style="55" customWidth="1"/>
    <col min="16" max="16" width="12.7109375" style="55" customWidth="1"/>
    <col min="17" max="16384" width="8.8515625" style="55" customWidth="1"/>
  </cols>
  <sheetData>
    <row r="1" spans="1:6" ht="20.25">
      <c r="A1" s="82" t="s">
        <v>187</v>
      </c>
      <c r="B1" s="54"/>
      <c r="C1" s="54"/>
      <c r="D1" s="54"/>
      <c r="E1" s="54"/>
      <c r="F1" s="54"/>
    </row>
    <row r="2" ht="12.75">
      <c r="A2" s="39" t="s">
        <v>34</v>
      </c>
    </row>
    <row r="3" spans="4:5" ht="1.5" customHeight="1">
      <c r="D3" s="57"/>
      <c r="E3" s="57"/>
    </row>
    <row r="4" spans="1:4" ht="12.75">
      <c r="A4" s="199" t="s">
        <v>197</v>
      </c>
      <c r="B4" s="200"/>
      <c r="C4" s="200"/>
      <c r="D4" s="201"/>
    </row>
    <row r="5" spans="1:6" ht="12.75">
      <c r="A5" s="211" t="s">
        <v>35</v>
      </c>
      <c r="B5" s="212"/>
      <c r="C5" s="76">
        <v>0.1</v>
      </c>
      <c r="D5" s="58"/>
      <c r="F5" s="59"/>
    </row>
    <row r="6" spans="1:6" ht="12.75">
      <c r="A6" s="211" t="s">
        <v>36</v>
      </c>
      <c r="B6" s="212"/>
      <c r="C6" s="78">
        <f>C5</f>
        <v>0.1</v>
      </c>
      <c r="D6" s="58"/>
      <c r="E6" s="60"/>
      <c r="F6" s="59"/>
    </row>
    <row r="7" spans="1:6" ht="12.75">
      <c r="A7" s="211" t="s">
        <v>37</v>
      </c>
      <c r="B7" s="212"/>
      <c r="C7" s="61">
        <v>0.95</v>
      </c>
      <c r="D7" s="58"/>
      <c r="E7" s="56"/>
      <c r="F7" s="59"/>
    </row>
    <row r="8" spans="1:4" ht="12.75">
      <c r="A8" s="211" t="s">
        <v>38</v>
      </c>
      <c r="B8" s="212"/>
      <c r="C8" s="62">
        <f>IF(C7=95%,1.96,IF(C7=90%,1.645,IF(C7=99%,2.576,0)))</f>
        <v>1.96</v>
      </c>
      <c r="D8" s="58"/>
    </row>
    <row r="9" spans="1:4" ht="12.75">
      <c r="A9" s="211" t="s">
        <v>39</v>
      </c>
      <c r="B9" s="212"/>
      <c r="C9" s="63">
        <v>1060</v>
      </c>
      <c r="D9" s="58" t="s">
        <v>31</v>
      </c>
    </row>
    <row r="10" ht="6" customHeight="1"/>
    <row r="11" spans="1:16" ht="15" customHeight="1">
      <c r="A11" s="205" t="s">
        <v>201</v>
      </c>
      <c r="B11" s="206"/>
      <c r="C11" s="206"/>
      <c r="D11" s="206"/>
      <c r="E11" s="206"/>
      <c r="F11" s="206"/>
      <c r="G11" s="206"/>
      <c r="H11" s="206"/>
      <c r="I11" s="206"/>
      <c r="J11" s="206"/>
      <c r="K11" s="206"/>
      <c r="L11" s="206"/>
      <c r="M11" s="206"/>
      <c r="N11" s="207"/>
      <c r="O11" s="57"/>
      <c r="P11" s="57"/>
    </row>
    <row r="12" spans="1:17" s="64" customFormat="1" ht="81">
      <c r="A12" s="40" t="s">
        <v>50</v>
      </c>
      <c r="B12" s="149" t="s">
        <v>218</v>
      </c>
      <c r="C12" s="135" t="s">
        <v>160</v>
      </c>
      <c r="D12" s="135" t="s">
        <v>223</v>
      </c>
      <c r="E12" s="137" t="s">
        <v>224</v>
      </c>
      <c r="F12" s="138" t="s">
        <v>196</v>
      </c>
      <c r="G12" s="139" t="s">
        <v>204</v>
      </c>
      <c r="H12" s="140" t="s">
        <v>172</v>
      </c>
      <c r="I12" s="140" t="s">
        <v>205</v>
      </c>
      <c r="J12" s="140" t="s">
        <v>206</v>
      </c>
      <c r="K12" s="141" t="s">
        <v>207</v>
      </c>
      <c r="L12" s="140" t="s">
        <v>208</v>
      </c>
      <c r="M12" s="135" t="s">
        <v>52</v>
      </c>
      <c r="N12" s="136" t="s">
        <v>161</v>
      </c>
      <c r="O12" s="65"/>
      <c r="P12" s="65"/>
      <c r="Q12" s="65"/>
    </row>
    <row r="13" spans="1:17" ht="15">
      <c r="A13" s="163" t="s">
        <v>40</v>
      </c>
      <c r="B13" s="165" t="s">
        <v>226</v>
      </c>
      <c r="C13" s="166">
        <v>360</v>
      </c>
      <c r="D13" s="166">
        <v>8.342780000000001</v>
      </c>
      <c r="E13" s="66">
        <v>3.566</v>
      </c>
      <c r="F13" s="92">
        <v>0.1257</v>
      </c>
      <c r="G13" s="93">
        <v>1</v>
      </c>
      <c r="H13" s="148">
        <f>(C13/F13)/((C$13/F$13)+(C$14/F$14)+(C$15/F$15)+(C$16/F$16)+(C$17/F$17)+(C$18/F$18)+(C$19/F$19)+(C$20/F$20)+(C$21/F$21)+(C$22/F$22))</f>
        <v>0.339622641509434</v>
      </c>
      <c r="I13" s="68">
        <f>H13*E13*SQRT(G13)</f>
        <v>1.2110943396226417</v>
      </c>
      <c r="J13" s="68">
        <f aca="true" t="shared" si="0" ref="J13:J22">H13*E13/SQRT(G13)</f>
        <v>1.2110943396226417</v>
      </c>
      <c r="K13" s="95">
        <f aca="true" t="shared" si="1" ref="K13:K22">((C13/F13)*E13)</f>
        <v>10212.887828162291</v>
      </c>
      <c r="L13" s="96">
        <f aca="true" t="shared" si="2" ref="L13:L22">((C13/F13)*E13^2)</f>
        <v>36419.15799522673</v>
      </c>
      <c r="M13" s="145">
        <f aca="true" t="shared" si="3" ref="M13:M22">E13^2</f>
        <v>12.716356</v>
      </c>
      <c r="N13" s="98">
        <f aca="true" t="shared" si="4" ref="N13:N22">IF(E13="","",E13/D13)</f>
        <v>0.4274354591634922</v>
      </c>
      <c r="O13" s="57"/>
      <c r="P13" s="57"/>
      <c r="Q13" s="57"/>
    </row>
    <row r="14" spans="1:17" ht="15">
      <c r="A14" s="163" t="s">
        <v>41</v>
      </c>
      <c r="B14" s="165" t="s">
        <v>225</v>
      </c>
      <c r="C14" s="129">
        <v>700</v>
      </c>
      <c r="D14" s="129">
        <v>13.030222514419517</v>
      </c>
      <c r="E14" s="66">
        <v>4.58</v>
      </c>
      <c r="F14" s="99">
        <f aca="true" t="shared" si="5" ref="F14:F22">F$13</f>
        <v>0.1257</v>
      </c>
      <c r="G14" s="93">
        <v>1</v>
      </c>
      <c r="H14" s="100">
        <f aca="true" t="shared" si="6" ref="H14:H22">(C14/F14)/((C$13/F$13)+(C$14/F$14)+(C$15/F$15)+(C$16/F$16)+(C$17/F$17)+(C$18/F$18)+(C$19/F$19)+(C$20/F$20)+(C$21/F$21)+(C$22/F$22))</f>
        <v>0.6603773584905661</v>
      </c>
      <c r="I14" s="71">
        <f aca="true" t="shared" si="7" ref="I14:I22">H14*E14*SQRT(G14)</f>
        <v>3.024528301886793</v>
      </c>
      <c r="J14" s="71">
        <f t="shared" si="0"/>
        <v>3.024528301886793</v>
      </c>
      <c r="K14" s="101">
        <f t="shared" si="1"/>
        <v>25505.17104216388</v>
      </c>
      <c r="L14" s="102">
        <f t="shared" si="2"/>
        <v>116813.68337311059</v>
      </c>
      <c r="M14" s="146">
        <f t="shared" si="3"/>
        <v>20.9764</v>
      </c>
      <c r="N14" s="104">
        <f t="shared" si="4"/>
        <v>0.35149054399736274</v>
      </c>
      <c r="O14" s="57"/>
      <c r="P14" s="57"/>
      <c r="Q14" s="57"/>
    </row>
    <row r="15" spans="1:17" ht="15">
      <c r="A15" s="164" t="s">
        <v>42</v>
      </c>
      <c r="B15" s="150"/>
      <c r="C15" s="63"/>
      <c r="D15" s="63"/>
      <c r="E15" s="66"/>
      <c r="F15" s="99">
        <f t="shared" si="5"/>
        <v>0.1257</v>
      </c>
      <c r="G15" s="93">
        <v>1</v>
      </c>
      <c r="H15" s="100">
        <f t="shared" si="6"/>
        <v>0</v>
      </c>
      <c r="I15" s="71">
        <f t="shared" si="7"/>
        <v>0</v>
      </c>
      <c r="J15" s="71">
        <f t="shared" si="0"/>
        <v>0</v>
      </c>
      <c r="K15" s="101">
        <f t="shared" si="1"/>
        <v>0</v>
      </c>
      <c r="L15" s="102">
        <f t="shared" si="2"/>
        <v>0</v>
      </c>
      <c r="M15" s="146">
        <f t="shared" si="3"/>
        <v>0</v>
      </c>
      <c r="N15" s="104">
        <f t="shared" si="4"/>
      </c>
      <c r="O15" s="57"/>
      <c r="P15" s="57"/>
      <c r="Q15" s="57"/>
    </row>
    <row r="16" spans="1:17" ht="15">
      <c r="A16" s="164" t="s">
        <v>43</v>
      </c>
      <c r="B16" s="151"/>
      <c r="C16" s="63"/>
      <c r="D16" s="63"/>
      <c r="E16" s="66"/>
      <c r="F16" s="99">
        <f t="shared" si="5"/>
        <v>0.1257</v>
      </c>
      <c r="G16" s="93">
        <v>1</v>
      </c>
      <c r="H16" s="100">
        <f t="shared" si="6"/>
        <v>0</v>
      </c>
      <c r="I16" s="71">
        <f t="shared" si="7"/>
        <v>0</v>
      </c>
      <c r="J16" s="71">
        <f t="shared" si="0"/>
        <v>0</v>
      </c>
      <c r="K16" s="101">
        <f t="shared" si="1"/>
        <v>0</v>
      </c>
      <c r="L16" s="102">
        <f t="shared" si="2"/>
        <v>0</v>
      </c>
      <c r="M16" s="146">
        <f t="shared" si="3"/>
        <v>0</v>
      </c>
      <c r="N16" s="104">
        <f t="shared" si="4"/>
      </c>
      <c r="O16" s="57"/>
      <c r="P16" s="57"/>
      <c r="Q16" s="57"/>
    </row>
    <row r="17" spans="1:17" ht="15">
      <c r="A17" s="164" t="s">
        <v>44</v>
      </c>
      <c r="B17" s="151"/>
      <c r="C17" s="63"/>
      <c r="D17" s="63"/>
      <c r="E17" s="66"/>
      <c r="F17" s="99">
        <f t="shared" si="5"/>
        <v>0.1257</v>
      </c>
      <c r="G17" s="93">
        <v>1</v>
      </c>
      <c r="H17" s="100">
        <f t="shared" si="6"/>
        <v>0</v>
      </c>
      <c r="I17" s="71">
        <f t="shared" si="7"/>
        <v>0</v>
      </c>
      <c r="J17" s="71">
        <f t="shared" si="0"/>
        <v>0</v>
      </c>
      <c r="K17" s="101">
        <f t="shared" si="1"/>
        <v>0</v>
      </c>
      <c r="L17" s="102">
        <f t="shared" si="2"/>
        <v>0</v>
      </c>
      <c r="M17" s="146">
        <f t="shared" si="3"/>
        <v>0</v>
      </c>
      <c r="N17" s="104">
        <f t="shared" si="4"/>
      </c>
      <c r="O17" s="57"/>
      <c r="P17" s="57"/>
      <c r="Q17" s="57"/>
    </row>
    <row r="18" spans="1:17" ht="15">
      <c r="A18" s="164" t="s">
        <v>45</v>
      </c>
      <c r="B18" s="151"/>
      <c r="C18" s="63"/>
      <c r="D18" s="63"/>
      <c r="E18" s="66"/>
      <c r="F18" s="99">
        <f t="shared" si="5"/>
        <v>0.1257</v>
      </c>
      <c r="G18" s="93">
        <v>1</v>
      </c>
      <c r="H18" s="100">
        <f t="shared" si="6"/>
        <v>0</v>
      </c>
      <c r="I18" s="71">
        <f t="shared" si="7"/>
        <v>0</v>
      </c>
      <c r="J18" s="71">
        <f t="shared" si="0"/>
        <v>0</v>
      </c>
      <c r="K18" s="101">
        <f t="shared" si="1"/>
        <v>0</v>
      </c>
      <c r="L18" s="102">
        <f t="shared" si="2"/>
        <v>0</v>
      </c>
      <c r="M18" s="146">
        <f t="shared" si="3"/>
        <v>0</v>
      </c>
      <c r="N18" s="104">
        <f t="shared" si="4"/>
      </c>
      <c r="O18" s="57"/>
      <c r="P18" s="57"/>
      <c r="Q18" s="57"/>
    </row>
    <row r="19" spans="1:17" ht="15">
      <c r="A19" s="164" t="s">
        <v>46</v>
      </c>
      <c r="B19" s="151"/>
      <c r="C19" s="63"/>
      <c r="D19" s="63"/>
      <c r="E19" s="66"/>
      <c r="F19" s="99">
        <f t="shared" si="5"/>
        <v>0.1257</v>
      </c>
      <c r="G19" s="93">
        <v>1</v>
      </c>
      <c r="H19" s="100">
        <f t="shared" si="6"/>
        <v>0</v>
      </c>
      <c r="I19" s="71">
        <f t="shared" si="7"/>
        <v>0</v>
      </c>
      <c r="J19" s="71">
        <f t="shared" si="0"/>
        <v>0</v>
      </c>
      <c r="K19" s="101">
        <f t="shared" si="1"/>
        <v>0</v>
      </c>
      <c r="L19" s="102">
        <f t="shared" si="2"/>
        <v>0</v>
      </c>
      <c r="M19" s="146">
        <f t="shared" si="3"/>
        <v>0</v>
      </c>
      <c r="N19" s="104">
        <f t="shared" si="4"/>
      </c>
      <c r="O19" s="57"/>
      <c r="P19" s="57"/>
      <c r="Q19" s="57"/>
    </row>
    <row r="20" spans="1:17" ht="15">
      <c r="A20" s="164" t="s">
        <v>47</v>
      </c>
      <c r="B20" s="151"/>
      <c r="C20" s="63"/>
      <c r="D20" s="63"/>
      <c r="E20" s="66"/>
      <c r="F20" s="99">
        <f t="shared" si="5"/>
        <v>0.1257</v>
      </c>
      <c r="G20" s="93">
        <v>1</v>
      </c>
      <c r="H20" s="100">
        <f t="shared" si="6"/>
        <v>0</v>
      </c>
      <c r="I20" s="71">
        <f t="shared" si="7"/>
        <v>0</v>
      </c>
      <c r="J20" s="71">
        <f t="shared" si="0"/>
        <v>0</v>
      </c>
      <c r="K20" s="101">
        <f t="shared" si="1"/>
        <v>0</v>
      </c>
      <c r="L20" s="102">
        <f t="shared" si="2"/>
        <v>0</v>
      </c>
      <c r="M20" s="146">
        <f t="shared" si="3"/>
        <v>0</v>
      </c>
      <c r="N20" s="104">
        <f t="shared" si="4"/>
      </c>
      <c r="O20" s="57"/>
      <c r="P20" s="57"/>
      <c r="Q20" s="57"/>
    </row>
    <row r="21" spans="1:17" ht="15">
      <c r="A21" s="164" t="s">
        <v>48</v>
      </c>
      <c r="B21" s="151"/>
      <c r="C21" s="63"/>
      <c r="D21" s="63"/>
      <c r="E21" s="66"/>
      <c r="F21" s="99">
        <f t="shared" si="5"/>
        <v>0.1257</v>
      </c>
      <c r="G21" s="93">
        <v>1</v>
      </c>
      <c r="H21" s="100">
        <f t="shared" si="6"/>
        <v>0</v>
      </c>
      <c r="I21" s="71">
        <f t="shared" si="7"/>
        <v>0</v>
      </c>
      <c r="J21" s="71">
        <f t="shared" si="0"/>
        <v>0</v>
      </c>
      <c r="K21" s="101">
        <f t="shared" si="1"/>
        <v>0</v>
      </c>
      <c r="L21" s="102">
        <f t="shared" si="2"/>
        <v>0</v>
      </c>
      <c r="M21" s="146">
        <f t="shared" si="3"/>
        <v>0</v>
      </c>
      <c r="N21" s="104">
        <f t="shared" si="4"/>
      </c>
      <c r="O21" s="57"/>
      <c r="P21" s="57"/>
      <c r="Q21" s="57"/>
    </row>
    <row r="22" spans="1:17" ht="15">
      <c r="A22" s="164" t="s">
        <v>49</v>
      </c>
      <c r="B22" s="151"/>
      <c r="C22" s="63"/>
      <c r="D22" s="63"/>
      <c r="E22" s="66"/>
      <c r="F22" s="105">
        <f t="shared" si="5"/>
        <v>0.1257</v>
      </c>
      <c r="G22" s="93">
        <v>1</v>
      </c>
      <c r="H22" s="106">
        <f t="shared" si="6"/>
        <v>0</v>
      </c>
      <c r="I22" s="107">
        <f t="shared" si="7"/>
        <v>0</v>
      </c>
      <c r="J22" s="107">
        <f t="shared" si="0"/>
        <v>0</v>
      </c>
      <c r="K22" s="108">
        <f t="shared" si="1"/>
        <v>0</v>
      </c>
      <c r="L22" s="109">
        <f t="shared" si="2"/>
        <v>0</v>
      </c>
      <c r="M22" s="147">
        <f t="shared" si="3"/>
        <v>0</v>
      </c>
      <c r="N22" s="111">
        <f t="shared" si="4"/>
      </c>
      <c r="O22" s="57"/>
      <c r="P22" s="57"/>
      <c r="Q22" s="57"/>
    </row>
    <row r="23" spans="10:16" ht="6" customHeight="1">
      <c r="J23" s="67"/>
      <c r="K23" s="67"/>
      <c r="L23" s="57"/>
      <c r="M23" s="57"/>
      <c r="N23" s="57"/>
      <c r="O23" s="57"/>
      <c r="P23" s="57"/>
    </row>
    <row r="24" spans="1:16" ht="19.5" customHeight="1">
      <c r="A24" s="196" t="s">
        <v>198</v>
      </c>
      <c r="B24" s="197"/>
      <c r="C24" s="197"/>
      <c r="D24" s="198"/>
      <c r="E24" s="168" t="s">
        <v>33</v>
      </c>
      <c r="G24" s="112" t="s">
        <v>178</v>
      </c>
      <c r="H24" s="113"/>
      <c r="I24" s="114"/>
      <c r="J24" s="114"/>
      <c r="K24" s="113"/>
      <c r="L24" s="113"/>
      <c r="M24" s="113"/>
      <c r="N24" s="113"/>
      <c r="O24" s="113"/>
      <c r="P24" s="115"/>
    </row>
    <row r="25" spans="1:16" ht="14.25">
      <c r="A25" s="192" t="s">
        <v>179</v>
      </c>
      <c r="B25" s="193"/>
      <c r="C25" s="69">
        <f>(C$13/F$13)+(C$14/F$14)+(C$15/F$15)+(C$16/F$16)+(C$17/F$17)+(C$18/F$18)+(C$19/F$19)+(C$20/F$20)+(C$21/F$21)+(C$22/F$22)</f>
        <v>8432.77645186953</v>
      </c>
      <c r="D25" s="89"/>
      <c r="E25" s="70"/>
      <c r="G25" s="116"/>
      <c r="H25" s="117"/>
      <c r="I25" s="118"/>
      <c r="J25" s="117"/>
      <c r="K25" s="117"/>
      <c r="L25" s="117"/>
      <c r="M25" s="117"/>
      <c r="N25" s="117"/>
      <c r="O25" s="117"/>
      <c r="P25" s="119"/>
    </row>
    <row r="26" spans="1:16" ht="14.25">
      <c r="A26" s="192" t="s">
        <v>190</v>
      </c>
      <c r="B26" s="193"/>
      <c r="C26" s="69">
        <f>SUM(C13:C22)</f>
        <v>1060</v>
      </c>
      <c r="D26" s="87" t="s">
        <v>199</v>
      </c>
      <c r="E26" s="194">
        <f>IF(C9=C26,"","Warning: total areas do not match")</f>
      </c>
      <c r="F26" s="195"/>
      <c r="G26" s="116"/>
      <c r="H26" s="117"/>
      <c r="I26" s="117"/>
      <c r="J26" s="117"/>
      <c r="K26" s="117"/>
      <c r="L26" s="117"/>
      <c r="M26" s="117"/>
      <c r="N26" s="117"/>
      <c r="O26" s="117"/>
      <c r="P26" s="119"/>
    </row>
    <row r="27" spans="1:16" ht="27.75">
      <c r="A27" s="192" t="s">
        <v>191</v>
      </c>
      <c r="B27" s="193"/>
      <c r="C27" s="72">
        <f>IF(C26=0,0,(((C13*D13)+(C14*D14)+(C15*D15)+(C16*D16)+(C17*D17)+(C18*D18)+(C19*D19)+(C20*D20)+(C21*D21)+(C22*D22))/C26))</f>
        <v>11.438260905748736</v>
      </c>
      <c r="D27" s="88" t="s">
        <v>192</v>
      </c>
      <c r="E27" s="194"/>
      <c r="F27" s="195"/>
      <c r="G27" s="116"/>
      <c r="H27" s="117"/>
      <c r="I27" s="117"/>
      <c r="J27" s="117"/>
      <c r="K27" s="117"/>
      <c r="L27" s="117"/>
      <c r="M27" s="117"/>
      <c r="N27" s="117"/>
      <c r="O27" s="117"/>
      <c r="P27" s="119"/>
    </row>
    <row r="28" spans="1:16" ht="15">
      <c r="A28" s="192" t="s">
        <v>162</v>
      </c>
      <c r="B28" s="193"/>
      <c r="C28" s="72">
        <f>IF(C26=0,0,(((C13*F13)+(C14*F14)+(C15*F15)+(C16*F16)+(C17*F17)+(C18*F18)+(C19*F19)+(C20*F20)+(C21*F21)+(C22*F22))/C26))</f>
        <v>0.1257</v>
      </c>
      <c r="D28" s="88" t="s">
        <v>193</v>
      </c>
      <c r="G28" s="116"/>
      <c r="H28" s="117"/>
      <c r="I28" s="117"/>
      <c r="J28" s="117"/>
      <c r="K28" s="117"/>
      <c r="L28" s="117"/>
      <c r="M28" s="117"/>
      <c r="N28" s="117"/>
      <c r="O28" s="117"/>
      <c r="P28" s="119"/>
    </row>
    <row r="29" spans="1:16" ht="14.25">
      <c r="A29" s="192" t="s">
        <v>194</v>
      </c>
      <c r="B29" s="193"/>
      <c r="C29" s="120">
        <f>((C13*E13)+(C14*E14)+(C15*E15)+(C16*E16)+(C17*E17)+(C18*E18)+(C19*E19)+(C20*E20)+(C21*E21)+(C22*E22))/SUM(C13:C22)</f>
        <v>4.235622641509434</v>
      </c>
      <c r="D29" s="91"/>
      <c r="G29" s="116"/>
      <c r="H29" s="117"/>
      <c r="I29" s="117"/>
      <c r="J29" s="117"/>
      <c r="K29" s="117"/>
      <c r="L29" s="117"/>
      <c r="M29" s="117"/>
      <c r="N29" s="117"/>
      <c r="O29" s="117"/>
      <c r="P29" s="119"/>
    </row>
    <row r="30" spans="1:16" ht="14.25">
      <c r="A30" s="192" t="s">
        <v>195</v>
      </c>
      <c r="B30" s="193"/>
      <c r="C30" s="121">
        <f>((C13*M13)+(C14*M14)+(C15*M15)+(C16*M16)+(C17*M17)+(C18*M18)+(C19*M19)+(C20*M20)+(C21*M21)+(C22*M22))/SUM(C13:C22)</f>
        <v>18.17110203773585</v>
      </c>
      <c r="D30" s="91"/>
      <c r="G30" s="116"/>
      <c r="H30" s="117"/>
      <c r="I30" s="117"/>
      <c r="J30" s="117"/>
      <c r="K30" s="117"/>
      <c r="L30" s="117"/>
      <c r="M30" s="117"/>
      <c r="N30" s="117"/>
      <c r="O30" s="117"/>
      <c r="P30" s="119"/>
    </row>
    <row r="31" spans="5:16" ht="12.75">
      <c r="E31" s="67"/>
      <c r="G31" s="116"/>
      <c r="H31" s="117"/>
      <c r="I31" s="117"/>
      <c r="J31" s="117"/>
      <c r="K31" s="117"/>
      <c r="L31" s="117"/>
      <c r="M31" s="117"/>
      <c r="N31" s="117"/>
      <c r="O31" s="117"/>
      <c r="P31" s="119"/>
    </row>
    <row r="32" spans="1:16" ht="13.5" customHeight="1">
      <c r="A32" s="208" t="s">
        <v>188</v>
      </c>
      <c r="B32" s="209"/>
      <c r="C32" s="209"/>
      <c r="D32" s="209"/>
      <c r="E32" s="209"/>
      <c r="F32" s="210"/>
      <c r="G32" s="116"/>
      <c r="H32" s="117"/>
      <c r="I32" s="117"/>
      <c r="J32" s="117"/>
      <c r="K32" s="117"/>
      <c r="L32" s="117"/>
      <c r="M32" s="117"/>
      <c r="N32" s="117"/>
      <c r="O32" s="117"/>
      <c r="P32" s="119"/>
    </row>
    <row r="33" spans="1:16" ht="38.25">
      <c r="A33" s="157"/>
      <c r="B33" s="152"/>
      <c r="C33" s="158" t="s">
        <v>202</v>
      </c>
      <c r="D33" s="159"/>
      <c r="E33" s="160" t="s">
        <v>163</v>
      </c>
      <c r="F33" s="161"/>
      <c r="G33" s="116"/>
      <c r="H33" s="117"/>
      <c r="I33" s="117"/>
      <c r="J33" s="117"/>
      <c r="K33" s="117"/>
      <c r="L33" s="117"/>
      <c r="M33" s="117"/>
      <c r="N33" s="117"/>
      <c r="O33" s="117"/>
      <c r="P33" s="119"/>
    </row>
    <row r="34" spans="1:16" ht="38.25">
      <c r="A34" s="122" t="s">
        <v>164</v>
      </c>
      <c r="B34" s="153" t="s">
        <v>218</v>
      </c>
      <c r="C34" s="84" t="s">
        <v>189</v>
      </c>
      <c r="D34" s="142" t="s">
        <v>18</v>
      </c>
      <c r="E34" s="86" t="s">
        <v>189</v>
      </c>
      <c r="F34" s="143" t="s">
        <v>18</v>
      </c>
      <c r="G34" s="123" t="s">
        <v>180</v>
      </c>
      <c r="H34" s="117"/>
      <c r="I34" s="117"/>
      <c r="J34" s="117"/>
      <c r="K34" s="117"/>
      <c r="L34" s="117"/>
      <c r="M34" s="117"/>
      <c r="N34" s="117"/>
      <c r="O34" s="117"/>
      <c r="P34" s="119"/>
    </row>
    <row r="35" spans="1:16" ht="18">
      <c r="A35" s="90" t="s">
        <v>203</v>
      </c>
      <c r="B35" s="154"/>
      <c r="C35" s="169">
        <f>IF(C9&gt;0,(C8/(C6*C27))^2*(SUM(I13:I22)*SUM(J13:J22)),"")</f>
        <v>52.677683418153094</v>
      </c>
      <c r="D35" s="170"/>
      <c r="E35" s="171">
        <f>IF(C$9&gt;0,(SUM(K13:K22)^2)/(((((C$26/AVERAGE(F13:F22))^2)*(C27*C6)^2)/C8^2)+SUM(L13:L22)),"")</f>
        <v>52.34648341163426</v>
      </c>
      <c r="F35" s="171"/>
      <c r="G35" s="123"/>
      <c r="H35" s="117"/>
      <c r="I35" s="117"/>
      <c r="J35" s="117"/>
      <c r="K35" s="117"/>
      <c r="L35" s="117"/>
      <c r="M35" s="117"/>
      <c r="N35" s="117"/>
      <c r="O35" s="117"/>
      <c r="P35" s="119"/>
    </row>
    <row r="36" spans="1:16" ht="18">
      <c r="A36" s="90" t="str">
        <f aca="true" t="shared" si="8" ref="A36:A45">A13</f>
        <v>Strata 1  第一层</v>
      </c>
      <c r="B36" s="155" t="str">
        <f>IF(B13="","",B13)</f>
        <v>Eupatorium domin.</v>
      </c>
      <c r="C36" s="169">
        <f>IF(C$9&gt;0,C$35*(J13/SUM(J$13:J$22)),"")</f>
        <v>15.062164317221455</v>
      </c>
      <c r="D36" s="172">
        <f>IF(C36="","",ROUNDUP(C36,0))</f>
        <v>16</v>
      </c>
      <c r="E36" s="171">
        <f>IF(C$9&gt;0,E$35*((K13/(SUM(K$13:K$22)))),"")</f>
        <v>14.967464083719307</v>
      </c>
      <c r="F36" s="173">
        <f aca="true" t="shared" si="9" ref="F36:F45">IF(E36="","",ROUNDUP(E36,0))</f>
        <v>15</v>
      </c>
      <c r="G36" s="123"/>
      <c r="H36" s="117"/>
      <c r="I36" s="117"/>
      <c r="J36" s="117"/>
      <c r="K36" s="117"/>
      <c r="L36" s="117"/>
      <c r="M36" s="117"/>
      <c r="N36" s="117"/>
      <c r="O36" s="117"/>
      <c r="P36" s="119"/>
    </row>
    <row r="37" spans="1:16" ht="25.5">
      <c r="A37" s="90" t="str">
        <f t="shared" si="8"/>
        <v>Strata 2  第二层</v>
      </c>
      <c r="B37" s="155" t="str">
        <f aca="true" t="shared" si="10" ref="B37:B45">IF(B14="","",B14)</f>
        <v>Eupatorium with Trees</v>
      </c>
      <c r="C37" s="169">
        <f aca="true" t="shared" si="11" ref="C37:C45">IF(C$9&gt;0,C$35*(J14/SUM(J$13:J$22)),"")</f>
        <v>37.615519100931635</v>
      </c>
      <c r="D37" s="172">
        <f aca="true" t="shared" si="12" ref="D37:D45">IF(C37="","",ROUNDUP(C37,0))</f>
        <v>38</v>
      </c>
      <c r="E37" s="171">
        <f aca="true" t="shared" si="13" ref="E37:E45">IF(C$9&gt;0,E$35*((K14/(SUM(K$13:K$22)))),"")</f>
        <v>37.37901932791495</v>
      </c>
      <c r="F37" s="173">
        <f t="shared" si="9"/>
        <v>38</v>
      </c>
      <c r="G37" s="116"/>
      <c r="H37" s="117"/>
      <c r="I37" s="117"/>
      <c r="J37" s="117"/>
      <c r="K37" s="117"/>
      <c r="L37" s="117"/>
      <c r="M37" s="117"/>
      <c r="N37" s="117"/>
      <c r="O37" s="117"/>
      <c r="P37" s="119"/>
    </row>
    <row r="38" spans="1:16" ht="12.75">
      <c r="A38" s="90" t="str">
        <f t="shared" si="8"/>
        <v>Strata 3  第三层</v>
      </c>
      <c r="B38" s="155">
        <f t="shared" si="10"/>
      </c>
      <c r="C38" s="169">
        <f t="shared" si="11"/>
        <v>0</v>
      </c>
      <c r="D38" s="172">
        <f t="shared" si="12"/>
        <v>0</v>
      </c>
      <c r="E38" s="171">
        <f t="shared" si="13"/>
        <v>0</v>
      </c>
      <c r="F38" s="173">
        <f t="shared" si="9"/>
        <v>0</v>
      </c>
      <c r="G38" s="116"/>
      <c r="H38" s="117"/>
      <c r="I38" s="117"/>
      <c r="J38" s="117"/>
      <c r="K38" s="117"/>
      <c r="L38" s="117"/>
      <c r="M38" s="117"/>
      <c r="N38" s="117"/>
      <c r="O38" s="117"/>
      <c r="P38" s="119"/>
    </row>
    <row r="39" spans="1:16" ht="12.75">
      <c r="A39" s="90" t="str">
        <f t="shared" si="8"/>
        <v>Strata 4  第四层</v>
      </c>
      <c r="B39" s="155">
        <f t="shared" si="10"/>
      </c>
      <c r="C39" s="169">
        <f t="shared" si="11"/>
        <v>0</v>
      </c>
      <c r="D39" s="172">
        <f t="shared" si="12"/>
        <v>0</v>
      </c>
      <c r="E39" s="171">
        <f t="shared" si="13"/>
        <v>0</v>
      </c>
      <c r="F39" s="173">
        <f t="shared" si="9"/>
        <v>0</v>
      </c>
      <c r="G39" s="116"/>
      <c r="H39" s="117"/>
      <c r="I39" s="117"/>
      <c r="J39" s="117"/>
      <c r="K39" s="117"/>
      <c r="L39" s="117"/>
      <c r="M39" s="117"/>
      <c r="N39" s="117"/>
      <c r="O39" s="117"/>
      <c r="P39" s="119"/>
    </row>
    <row r="40" spans="1:16" ht="12.75">
      <c r="A40" s="90" t="str">
        <f t="shared" si="8"/>
        <v>Strata 5  第五层</v>
      </c>
      <c r="B40" s="155">
        <f t="shared" si="10"/>
      </c>
      <c r="C40" s="169">
        <f t="shared" si="11"/>
        <v>0</v>
      </c>
      <c r="D40" s="172">
        <f t="shared" si="12"/>
        <v>0</v>
      </c>
      <c r="E40" s="171">
        <f t="shared" si="13"/>
        <v>0</v>
      </c>
      <c r="F40" s="173">
        <f t="shared" si="9"/>
        <v>0</v>
      </c>
      <c r="G40" s="116"/>
      <c r="H40" s="117"/>
      <c r="I40" s="117"/>
      <c r="J40" s="117"/>
      <c r="K40" s="117"/>
      <c r="L40" s="117"/>
      <c r="M40" s="117"/>
      <c r="N40" s="117"/>
      <c r="O40" s="117"/>
      <c r="P40" s="119"/>
    </row>
    <row r="41" spans="1:16" ht="12.75">
      <c r="A41" s="90" t="str">
        <f t="shared" si="8"/>
        <v>Strata 6  第六层</v>
      </c>
      <c r="B41" s="155">
        <f t="shared" si="10"/>
      </c>
      <c r="C41" s="169">
        <f t="shared" si="11"/>
        <v>0</v>
      </c>
      <c r="D41" s="172">
        <f t="shared" si="12"/>
        <v>0</v>
      </c>
      <c r="E41" s="171">
        <f t="shared" si="13"/>
        <v>0</v>
      </c>
      <c r="F41" s="173">
        <f t="shared" si="9"/>
        <v>0</v>
      </c>
      <c r="G41" s="116"/>
      <c r="H41" s="117"/>
      <c r="I41" s="117"/>
      <c r="J41" s="117"/>
      <c r="K41" s="117"/>
      <c r="L41" s="117"/>
      <c r="M41" s="117"/>
      <c r="N41" s="117"/>
      <c r="O41" s="117"/>
      <c r="P41" s="119"/>
    </row>
    <row r="42" spans="1:16" ht="12.75">
      <c r="A42" s="90" t="str">
        <f t="shared" si="8"/>
        <v>Strata 7  第七层</v>
      </c>
      <c r="B42" s="155">
        <f t="shared" si="10"/>
      </c>
      <c r="C42" s="169">
        <f t="shared" si="11"/>
        <v>0</v>
      </c>
      <c r="D42" s="172">
        <f t="shared" si="12"/>
        <v>0</v>
      </c>
      <c r="E42" s="171">
        <f t="shared" si="13"/>
        <v>0</v>
      </c>
      <c r="F42" s="173">
        <f t="shared" si="9"/>
        <v>0</v>
      </c>
      <c r="G42" s="116"/>
      <c r="H42" s="117"/>
      <c r="I42" s="117"/>
      <c r="J42" s="117"/>
      <c r="K42" s="117"/>
      <c r="L42" s="117"/>
      <c r="M42" s="117"/>
      <c r="N42" s="117"/>
      <c r="O42" s="117"/>
      <c r="P42" s="119"/>
    </row>
    <row r="43" spans="1:16" ht="12.75">
      <c r="A43" s="90" t="str">
        <f t="shared" si="8"/>
        <v>Strata 8  第八层</v>
      </c>
      <c r="B43" s="155">
        <f t="shared" si="10"/>
      </c>
      <c r="C43" s="169">
        <f t="shared" si="11"/>
        <v>0</v>
      </c>
      <c r="D43" s="172">
        <f t="shared" si="12"/>
        <v>0</v>
      </c>
      <c r="E43" s="171">
        <f t="shared" si="13"/>
        <v>0</v>
      </c>
      <c r="F43" s="173">
        <f t="shared" si="9"/>
        <v>0</v>
      </c>
      <c r="G43" s="116"/>
      <c r="H43" s="117"/>
      <c r="I43" s="117"/>
      <c r="J43" s="117"/>
      <c r="K43" s="117"/>
      <c r="L43" s="117"/>
      <c r="M43" s="117"/>
      <c r="N43" s="117"/>
      <c r="O43" s="117"/>
      <c r="P43" s="119"/>
    </row>
    <row r="44" spans="1:16" ht="12.75">
      <c r="A44" s="90" t="str">
        <f t="shared" si="8"/>
        <v>Strata 9  第九层</v>
      </c>
      <c r="B44" s="155">
        <f t="shared" si="10"/>
      </c>
      <c r="C44" s="169">
        <f t="shared" si="11"/>
        <v>0</v>
      </c>
      <c r="D44" s="172">
        <f t="shared" si="12"/>
        <v>0</v>
      </c>
      <c r="E44" s="171">
        <f t="shared" si="13"/>
        <v>0</v>
      </c>
      <c r="F44" s="173">
        <f t="shared" si="9"/>
        <v>0</v>
      </c>
      <c r="G44" s="116"/>
      <c r="H44" s="117"/>
      <c r="I44" s="117"/>
      <c r="J44" s="117"/>
      <c r="K44" s="117"/>
      <c r="L44" s="117"/>
      <c r="M44" s="117"/>
      <c r="N44" s="117"/>
      <c r="O44" s="117"/>
      <c r="P44" s="119"/>
    </row>
    <row r="45" spans="1:16" ht="12.75">
      <c r="A45" s="90" t="str">
        <f t="shared" si="8"/>
        <v>Strata 10 第十层</v>
      </c>
      <c r="B45" s="155">
        <f t="shared" si="10"/>
      </c>
      <c r="C45" s="169">
        <f t="shared" si="11"/>
        <v>0</v>
      </c>
      <c r="D45" s="172">
        <f t="shared" si="12"/>
        <v>0</v>
      </c>
      <c r="E45" s="171">
        <f t="shared" si="13"/>
        <v>0</v>
      </c>
      <c r="F45" s="173">
        <f t="shared" si="9"/>
        <v>0</v>
      </c>
      <c r="G45" s="116"/>
      <c r="H45" s="117"/>
      <c r="I45" s="117"/>
      <c r="J45" s="117"/>
      <c r="K45" s="117"/>
      <c r="L45" s="117"/>
      <c r="M45" s="117"/>
      <c r="N45" s="117"/>
      <c r="O45" s="117"/>
      <c r="P45" s="119"/>
    </row>
    <row r="46" spans="1:16" ht="12.75">
      <c r="A46" s="124" t="s">
        <v>165</v>
      </c>
      <c r="B46" s="156"/>
      <c r="C46" s="174"/>
      <c r="D46" s="175">
        <f>SUM(D36:D45)</f>
        <v>54</v>
      </c>
      <c r="E46" s="176"/>
      <c r="F46" s="173">
        <f>SUM(F36:F45)</f>
        <v>53</v>
      </c>
      <c r="G46" s="116"/>
      <c r="H46" s="117"/>
      <c r="I46" s="117"/>
      <c r="J46" s="117"/>
      <c r="K46" s="117"/>
      <c r="L46" s="117"/>
      <c r="M46" s="117"/>
      <c r="N46" s="117"/>
      <c r="O46" s="117"/>
      <c r="P46" s="119"/>
    </row>
    <row r="47" spans="7:16" ht="24" customHeight="1">
      <c r="G47" s="202" t="s">
        <v>209</v>
      </c>
      <c r="H47" s="203"/>
      <c r="I47" s="203"/>
      <c r="J47" s="203"/>
      <c r="K47" s="203"/>
      <c r="L47" s="203"/>
      <c r="M47" s="203"/>
      <c r="N47" s="203"/>
      <c r="O47" s="203"/>
      <c r="P47" s="204"/>
    </row>
    <row r="48" spans="7:16" ht="15.75">
      <c r="G48" s="202" t="s">
        <v>181</v>
      </c>
      <c r="H48" s="203"/>
      <c r="I48" s="203"/>
      <c r="J48" s="203"/>
      <c r="K48" s="203"/>
      <c r="L48" s="203"/>
      <c r="M48" s="203"/>
      <c r="N48" s="203"/>
      <c r="O48" s="203"/>
      <c r="P48" s="119"/>
    </row>
    <row r="49" spans="7:16" ht="12.75">
      <c r="G49" s="202" t="s">
        <v>182</v>
      </c>
      <c r="H49" s="203"/>
      <c r="I49" s="203"/>
      <c r="J49" s="203"/>
      <c r="K49" s="203"/>
      <c r="L49" s="203"/>
      <c r="M49" s="203"/>
      <c r="N49" s="203"/>
      <c r="O49" s="203"/>
      <c r="P49" s="204"/>
    </row>
    <row r="50" spans="7:16" ht="12.75" customHeight="1">
      <c r="G50" s="213" t="s">
        <v>183</v>
      </c>
      <c r="H50" s="214"/>
      <c r="I50" s="214"/>
      <c r="J50" s="214"/>
      <c r="K50" s="214"/>
      <c r="L50" s="214"/>
      <c r="M50" s="214"/>
      <c r="N50" s="214"/>
      <c r="O50" s="214"/>
      <c r="P50" s="215"/>
    </row>
    <row r="51" spans="7:16" ht="12.75" customHeight="1">
      <c r="G51" s="213" t="s">
        <v>184</v>
      </c>
      <c r="H51" s="214"/>
      <c r="I51" s="214"/>
      <c r="J51" s="214"/>
      <c r="K51" s="214"/>
      <c r="L51" s="214"/>
      <c r="M51" s="214"/>
      <c r="N51" s="214"/>
      <c r="O51" s="214"/>
      <c r="P51" s="215"/>
    </row>
    <row r="52" spans="1:16" ht="14.25">
      <c r="A52" s="73" t="s">
        <v>166</v>
      </c>
      <c r="G52" s="213" t="s">
        <v>185</v>
      </c>
      <c r="H52" s="214"/>
      <c r="I52" s="117"/>
      <c r="J52" s="117"/>
      <c r="K52" s="117"/>
      <c r="L52" s="117"/>
      <c r="M52" s="117"/>
      <c r="N52" s="117"/>
      <c r="O52" s="117"/>
      <c r="P52" s="119"/>
    </row>
    <row r="53" spans="1:16" ht="15.75">
      <c r="A53" s="55" t="s">
        <v>167</v>
      </c>
      <c r="G53" s="213" t="s">
        <v>186</v>
      </c>
      <c r="H53" s="214"/>
      <c r="I53" s="117"/>
      <c r="J53" s="117"/>
      <c r="K53" s="117"/>
      <c r="L53" s="117"/>
      <c r="M53" s="117"/>
      <c r="N53" s="117"/>
      <c r="O53" s="117"/>
      <c r="P53" s="119"/>
    </row>
    <row r="54" spans="7:16" ht="6" customHeight="1">
      <c r="G54" s="116"/>
      <c r="H54" s="117"/>
      <c r="I54" s="117"/>
      <c r="J54" s="117"/>
      <c r="K54" s="117"/>
      <c r="L54" s="117"/>
      <c r="M54" s="117"/>
      <c r="N54" s="117"/>
      <c r="O54" s="117"/>
      <c r="P54" s="119"/>
    </row>
    <row r="55" spans="1:16" ht="12.75">
      <c r="A55" s="74" t="s">
        <v>168</v>
      </c>
      <c r="G55" s="116" t="s">
        <v>170</v>
      </c>
      <c r="H55" s="117"/>
      <c r="I55" s="117"/>
      <c r="J55" s="117"/>
      <c r="K55" s="117"/>
      <c r="L55" s="117"/>
      <c r="M55" s="117"/>
      <c r="N55" s="117"/>
      <c r="O55" s="117"/>
      <c r="P55" s="119"/>
    </row>
    <row r="56" spans="1:16" ht="12.75">
      <c r="A56" s="74" t="s">
        <v>169</v>
      </c>
      <c r="G56" s="125" t="s">
        <v>171</v>
      </c>
      <c r="H56" s="126"/>
      <c r="I56" s="126"/>
      <c r="J56" s="126"/>
      <c r="K56" s="126"/>
      <c r="L56" s="126"/>
      <c r="M56" s="126"/>
      <c r="N56" s="126"/>
      <c r="O56" s="126"/>
      <c r="P56" s="127"/>
    </row>
    <row r="57" ht="12.75">
      <c r="Q57" s="75"/>
    </row>
  </sheetData>
  <sheetProtection password="DDAD" sheet="1" objects="1" scenarios="1" selectLockedCells="1"/>
  <mergeCells count="23">
    <mergeCell ref="G53:H53"/>
    <mergeCell ref="G50:P50"/>
    <mergeCell ref="G51:P51"/>
    <mergeCell ref="G48:O48"/>
    <mergeCell ref="G49:P49"/>
    <mergeCell ref="G52:H52"/>
    <mergeCell ref="A4:D4"/>
    <mergeCell ref="G47:P47"/>
    <mergeCell ref="A11:N11"/>
    <mergeCell ref="A32:F32"/>
    <mergeCell ref="A5:B5"/>
    <mergeCell ref="A6:B6"/>
    <mergeCell ref="A7:B7"/>
    <mergeCell ref="A8:B8"/>
    <mergeCell ref="A9:B9"/>
    <mergeCell ref="A24:D24"/>
    <mergeCell ref="A25:B25"/>
    <mergeCell ref="A26:B26"/>
    <mergeCell ref="A27:B27"/>
    <mergeCell ref="A28:B28"/>
    <mergeCell ref="A29:B29"/>
    <mergeCell ref="A30:B30"/>
    <mergeCell ref="E26:F27"/>
  </mergeCells>
  <hyperlinks>
    <hyperlink ref="E24" location="' Soil C - Plots  土壤生物量'!A1" display="GoTo Next"/>
    <hyperlink ref="A56" r:id="rId1" display="CarbonServices@winrock.org"/>
    <hyperlink ref="A55" r:id="rId2" display="www.winrock.org"/>
  </hyperlinks>
  <printOptions/>
  <pageMargins left="0.3" right="0.3" top="0.3" bottom="0.3" header="0.5" footer="0.5"/>
  <pageSetup blackAndWhite="1" fitToHeight="1" fitToWidth="1" horizontalDpi="600" verticalDpi="600" orientation="landscape" scale="66" r:id="rId11"/>
  <drawing r:id="rId10"/>
  <legacyDrawing r:id="rId9"/>
  <oleObjects>
    <oleObject progId="Equation.3" shapeId="1279671" r:id="rId4"/>
    <oleObject progId="Equation.3" shapeId="1279672" r:id="rId5"/>
    <oleObject progId="Equation.3" shapeId="1279673" r:id="rId6"/>
    <oleObject progId="Equation.3" shapeId="1279674" r:id="rId7"/>
    <oleObject progId="Equation.3" shapeId="1279675" r:id="rId8"/>
  </oleObjects>
</worksheet>
</file>

<file path=xl/worksheets/sheet3.xml><?xml version="1.0" encoding="utf-8"?>
<worksheet xmlns="http://schemas.openxmlformats.org/spreadsheetml/2006/main" xmlns:r="http://schemas.openxmlformats.org/officeDocument/2006/relationships">
  <dimension ref="A1:R56"/>
  <sheetViews>
    <sheetView view="pageBreakPreview" zoomScale="60" zoomScaleNormal="60" workbookViewId="0" topLeftCell="A1">
      <selection activeCell="B19" sqref="B19"/>
    </sheetView>
  </sheetViews>
  <sheetFormatPr defaultColWidth="9.140625" defaultRowHeight="12.75"/>
  <cols>
    <col min="1" max="1" width="22.8515625" style="55" customWidth="1"/>
    <col min="2" max="2" width="21.421875" style="55" customWidth="1"/>
    <col min="3" max="3" width="13.140625" style="55" customWidth="1"/>
    <col min="4" max="4" width="19.7109375" style="55" customWidth="1"/>
    <col min="5" max="5" width="12.28125" style="55" customWidth="1"/>
    <col min="6" max="6" width="10.140625" style="55" customWidth="1"/>
    <col min="7" max="7" width="10.28125" style="55" customWidth="1"/>
    <col min="8" max="8" width="4.7109375" style="55" customWidth="1"/>
    <col min="9" max="9" width="9.00390625" style="55" bestFit="1" customWidth="1"/>
    <col min="10" max="10" width="9.28125" style="55" customWidth="1"/>
    <col min="11" max="12" width="6.7109375" style="55" customWidth="1"/>
    <col min="13" max="13" width="11.7109375" style="55" customWidth="1"/>
    <col min="14" max="14" width="11.421875" style="55" customWidth="1"/>
    <col min="15" max="15" width="8.8515625" style="55" customWidth="1"/>
    <col min="16" max="16" width="7.421875" style="55" customWidth="1"/>
    <col min="17" max="16384" width="8.8515625" style="55" customWidth="1"/>
  </cols>
  <sheetData>
    <row r="1" spans="1:6" ht="20.25">
      <c r="A1" s="218" t="s">
        <v>19</v>
      </c>
      <c r="B1" s="219"/>
      <c r="C1" s="219"/>
      <c r="D1" s="219"/>
      <c r="E1" s="219"/>
      <c r="F1" s="220"/>
    </row>
    <row r="2" spans="1:3" ht="12.75">
      <c r="A2" s="39" t="s">
        <v>34</v>
      </c>
      <c r="B2"/>
      <c r="C2"/>
    </row>
    <row r="3" ht="3.75" customHeight="1"/>
    <row r="4" spans="1:4" ht="12.75" customHeight="1">
      <c r="A4" s="199" t="s">
        <v>197</v>
      </c>
      <c r="B4" s="200"/>
      <c r="C4" s="200"/>
      <c r="D4" s="201"/>
    </row>
    <row r="5" spans="1:5" ht="27.75" customHeight="1">
      <c r="A5" s="211" t="s">
        <v>35</v>
      </c>
      <c r="B5" s="212"/>
      <c r="C5" s="76">
        <v>0.1</v>
      </c>
      <c r="D5" s="58"/>
      <c r="E5" s="77"/>
    </row>
    <row r="6" spans="1:5" ht="14.25" customHeight="1">
      <c r="A6" s="211" t="s">
        <v>36</v>
      </c>
      <c r="B6" s="212"/>
      <c r="C6" s="78">
        <f>C5</f>
        <v>0.1</v>
      </c>
      <c r="D6" s="58"/>
      <c r="E6" s="77"/>
    </row>
    <row r="7" spans="1:4" ht="14.25" customHeight="1">
      <c r="A7" s="211" t="s">
        <v>37</v>
      </c>
      <c r="B7" s="212"/>
      <c r="C7" s="61">
        <v>0.95</v>
      </c>
      <c r="D7" s="58"/>
    </row>
    <row r="8" spans="1:4" ht="14.25" customHeight="1">
      <c r="A8" s="211" t="s">
        <v>38</v>
      </c>
      <c r="B8" s="212"/>
      <c r="C8" s="62">
        <f>IF(C7=95%,1.96,IF(C7=90%,1.645,IF(C7=99%,2.576,0)))</f>
        <v>1.96</v>
      </c>
      <c r="D8" s="58"/>
    </row>
    <row r="9" spans="1:17" ht="14.25" customHeight="1">
      <c r="A9" s="211" t="s">
        <v>39</v>
      </c>
      <c r="B9" s="212"/>
      <c r="C9" s="63">
        <v>1060</v>
      </c>
      <c r="D9" s="58" t="s">
        <v>31</v>
      </c>
      <c r="J9" s="57"/>
      <c r="K9" s="57"/>
      <c r="L9" s="57"/>
      <c r="M9" s="57"/>
      <c r="N9" s="57"/>
      <c r="O9" s="57"/>
      <c r="P9" s="57"/>
      <c r="Q9" s="57"/>
    </row>
    <row r="10" spans="10:17" ht="12.75">
      <c r="J10" s="57"/>
      <c r="K10" s="57"/>
      <c r="L10" s="57"/>
      <c r="M10" s="57"/>
      <c r="N10" s="57"/>
      <c r="O10" s="57"/>
      <c r="P10" s="57"/>
      <c r="Q10" s="57"/>
    </row>
    <row r="11" spans="1:17" ht="15" customHeight="1">
      <c r="A11" s="205" t="s">
        <v>201</v>
      </c>
      <c r="B11" s="206"/>
      <c r="C11" s="206"/>
      <c r="D11" s="206"/>
      <c r="E11" s="206"/>
      <c r="F11" s="206"/>
      <c r="G11" s="206"/>
      <c r="H11" s="206"/>
      <c r="I11" s="206"/>
      <c r="J11" s="206"/>
      <c r="K11" s="206"/>
      <c r="L11" s="206"/>
      <c r="M11" s="206"/>
      <c r="N11" s="207"/>
      <c r="O11" s="57"/>
      <c r="P11" s="57"/>
      <c r="Q11" s="57"/>
    </row>
    <row r="12" spans="1:18" ht="68.25">
      <c r="A12" s="40" t="s">
        <v>50</v>
      </c>
      <c r="B12" s="149" t="s">
        <v>218</v>
      </c>
      <c r="C12" s="137" t="s">
        <v>160</v>
      </c>
      <c r="D12" s="137" t="s">
        <v>51</v>
      </c>
      <c r="E12" s="137" t="s">
        <v>159</v>
      </c>
      <c r="F12" s="138" t="s">
        <v>196</v>
      </c>
      <c r="G12" s="139" t="s">
        <v>173</v>
      </c>
      <c r="H12" s="140" t="s">
        <v>172</v>
      </c>
      <c r="I12" s="140" t="s">
        <v>174</v>
      </c>
      <c r="J12" s="140" t="s">
        <v>175</v>
      </c>
      <c r="K12" s="141" t="s">
        <v>176</v>
      </c>
      <c r="L12" s="140" t="s">
        <v>177</v>
      </c>
      <c r="M12" s="135" t="s">
        <v>52</v>
      </c>
      <c r="N12" s="136" t="s">
        <v>161</v>
      </c>
      <c r="O12" s="65"/>
      <c r="P12" s="65"/>
      <c r="Q12" s="65"/>
      <c r="R12" s="57"/>
    </row>
    <row r="13" spans="1:18" ht="15">
      <c r="A13" s="164" t="s">
        <v>40</v>
      </c>
      <c r="B13" s="165" t="s">
        <v>226</v>
      </c>
      <c r="C13" s="63">
        <v>360</v>
      </c>
      <c r="D13" s="63">
        <v>49.3</v>
      </c>
      <c r="E13" s="177">
        <v>15.22</v>
      </c>
      <c r="F13" s="80">
        <v>5E-08</v>
      </c>
      <c r="G13" s="130">
        <v>1</v>
      </c>
      <c r="H13" s="94">
        <f aca="true" t="shared" si="0" ref="H13:H22">(C13/F13)/((C$13/F$13)+(C$14/F$14)+(C$15/F$15)+(C$16/F$16)+(C$17/F$17)+(C$18/F$18)+(C$19/F$19)+(C$20/F$20)+(C$21/F$21)+(C$22/F$22))</f>
        <v>0.33962264150943394</v>
      </c>
      <c r="I13" s="68">
        <f aca="true" t="shared" si="1" ref="I13:I22">H13*E13*SQRT(G13)</f>
        <v>5.169056603773585</v>
      </c>
      <c r="J13" s="68">
        <f aca="true" t="shared" si="2" ref="J13:J22">H13*E13/SQRT(G13)</f>
        <v>5.169056603773585</v>
      </c>
      <c r="K13" s="95">
        <f aca="true" t="shared" si="3" ref="K13:K22">((C13/F13)*E13)</f>
        <v>109584000000</v>
      </c>
      <c r="L13" s="96">
        <f aca="true" t="shared" si="4" ref="L13:L22">((C13/F13)*E13^2)</f>
        <v>1667868480000</v>
      </c>
      <c r="M13" s="97">
        <f aca="true" t="shared" si="5" ref="M13:M22">E13^2</f>
        <v>231.6484</v>
      </c>
      <c r="N13" s="98">
        <f aca="true" t="shared" si="6" ref="N13:N22">IF(E13="","",E13/D13)</f>
        <v>0.30872210953346857</v>
      </c>
      <c r="O13" s="57"/>
      <c r="P13" s="57"/>
      <c r="Q13" s="57"/>
      <c r="R13" s="57"/>
    </row>
    <row r="14" spans="1:18" ht="15">
      <c r="A14" s="164" t="s">
        <v>41</v>
      </c>
      <c r="B14" s="165" t="s">
        <v>225</v>
      </c>
      <c r="C14" s="63">
        <v>700</v>
      </c>
      <c r="D14" s="63">
        <v>77.5</v>
      </c>
      <c r="E14" s="79">
        <v>14.55</v>
      </c>
      <c r="F14" s="131">
        <v>5E-08</v>
      </c>
      <c r="G14" s="130">
        <v>1</v>
      </c>
      <c r="H14" s="100">
        <f t="shared" si="0"/>
        <v>0.660377358490566</v>
      </c>
      <c r="I14" s="71">
        <f t="shared" si="1"/>
        <v>9.608490566037736</v>
      </c>
      <c r="J14" s="71">
        <f t="shared" si="2"/>
        <v>9.608490566037736</v>
      </c>
      <c r="K14" s="101">
        <f t="shared" si="3"/>
        <v>203700000000</v>
      </c>
      <c r="L14" s="102">
        <f t="shared" si="4"/>
        <v>2963835000000</v>
      </c>
      <c r="M14" s="103">
        <f t="shared" si="5"/>
        <v>211.70250000000001</v>
      </c>
      <c r="N14" s="104">
        <f t="shared" si="6"/>
        <v>0.18774193548387097</v>
      </c>
      <c r="O14" s="57"/>
      <c r="P14" s="57"/>
      <c r="Q14" s="57"/>
      <c r="R14" s="57"/>
    </row>
    <row r="15" spans="1:18" ht="15">
      <c r="A15" s="164" t="s">
        <v>42</v>
      </c>
      <c r="B15" s="150"/>
      <c r="C15" s="63"/>
      <c r="D15" s="63"/>
      <c r="E15" s="79"/>
      <c r="F15" s="131">
        <v>5E-08</v>
      </c>
      <c r="G15" s="130">
        <v>1</v>
      </c>
      <c r="H15" s="100">
        <f t="shared" si="0"/>
        <v>0</v>
      </c>
      <c r="I15" s="71">
        <f t="shared" si="1"/>
        <v>0</v>
      </c>
      <c r="J15" s="71">
        <f t="shared" si="2"/>
        <v>0</v>
      </c>
      <c r="K15" s="101">
        <f t="shared" si="3"/>
        <v>0</v>
      </c>
      <c r="L15" s="102">
        <f t="shared" si="4"/>
        <v>0</v>
      </c>
      <c r="M15" s="103">
        <f t="shared" si="5"/>
        <v>0</v>
      </c>
      <c r="N15" s="104">
        <f t="shared" si="6"/>
      </c>
      <c r="O15" s="57"/>
      <c r="P15" s="57"/>
      <c r="Q15" s="57"/>
      <c r="R15" s="57"/>
    </row>
    <row r="16" spans="1:18" ht="15">
      <c r="A16" s="164" t="s">
        <v>43</v>
      </c>
      <c r="B16" s="151"/>
      <c r="C16" s="63"/>
      <c r="D16" s="63"/>
      <c r="E16" s="79"/>
      <c r="F16" s="131">
        <v>5E-08</v>
      </c>
      <c r="G16" s="130">
        <v>1</v>
      </c>
      <c r="H16" s="100">
        <f t="shared" si="0"/>
        <v>0</v>
      </c>
      <c r="I16" s="71">
        <f t="shared" si="1"/>
        <v>0</v>
      </c>
      <c r="J16" s="71">
        <f t="shared" si="2"/>
        <v>0</v>
      </c>
      <c r="K16" s="101">
        <f t="shared" si="3"/>
        <v>0</v>
      </c>
      <c r="L16" s="102">
        <f t="shared" si="4"/>
        <v>0</v>
      </c>
      <c r="M16" s="103">
        <f t="shared" si="5"/>
        <v>0</v>
      </c>
      <c r="N16" s="104">
        <f t="shared" si="6"/>
      </c>
      <c r="O16" s="57"/>
      <c r="P16" s="57"/>
      <c r="Q16" s="57"/>
      <c r="R16" s="57"/>
    </row>
    <row r="17" spans="1:18" ht="15">
      <c r="A17" s="164" t="s">
        <v>44</v>
      </c>
      <c r="B17" s="151"/>
      <c r="C17" s="63"/>
      <c r="D17" s="63"/>
      <c r="E17" s="79"/>
      <c r="F17" s="131">
        <v>5E-08</v>
      </c>
      <c r="G17" s="130">
        <v>1</v>
      </c>
      <c r="H17" s="100">
        <f t="shared" si="0"/>
        <v>0</v>
      </c>
      <c r="I17" s="71">
        <f t="shared" si="1"/>
        <v>0</v>
      </c>
      <c r="J17" s="71">
        <f t="shared" si="2"/>
        <v>0</v>
      </c>
      <c r="K17" s="101">
        <f t="shared" si="3"/>
        <v>0</v>
      </c>
      <c r="L17" s="102">
        <f t="shared" si="4"/>
        <v>0</v>
      </c>
      <c r="M17" s="103">
        <f t="shared" si="5"/>
        <v>0</v>
      </c>
      <c r="N17" s="104">
        <f t="shared" si="6"/>
      </c>
      <c r="O17" s="57"/>
      <c r="P17" s="57"/>
      <c r="Q17" s="57"/>
      <c r="R17" s="57"/>
    </row>
    <row r="18" spans="1:18" ht="15">
      <c r="A18" s="164" t="s">
        <v>45</v>
      </c>
      <c r="B18" s="151"/>
      <c r="C18" s="63"/>
      <c r="D18" s="63"/>
      <c r="E18" s="79"/>
      <c r="F18" s="131">
        <v>5E-08</v>
      </c>
      <c r="G18" s="130">
        <v>1</v>
      </c>
      <c r="H18" s="100">
        <f t="shared" si="0"/>
        <v>0</v>
      </c>
      <c r="I18" s="71">
        <f t="shared" si="1"/>
        <v>0</v>
      </c>
      <c r="J18" s="71">
        <f t="shared" si="2"/>
        <v>0</v>
      </c>
      <c r="K18" s="101">
        <f t="shared" si="3"/>
        <v>0</v>
      </c>
      <c r="L18" s="102">
        <f t="shared" si="4"/>
        <v>0</v>
      </c>
      <c r="M18" s="103">
        <f t="shared" si="5"/>
        <v>0</v>
      </c>
      <c r="N18" s="104">
        <f t="shared" si="6"/>
      </c>
      <c r="O18" s="57"/>
      <c r="P18" s="57"/>
      <c r="Q18" s="57"/>
      <c r="R18" s="57"/>
    </row>
    <row r="19" spans="1:18" ht="15">
      <c r="A19" s="164" t="s">
        <v>46</v>
      </c>
      <c r="B19" s="151"/>
      <c r="C19" s="63"/>
      <c r="D19" s="63"/>
      <c r="E19" s="79"/>
      <c r="F19" s="131">
        <v>5E-08</v>
      </c>
      <c r="G19" s="130">
        <v>1</v>
      </c>
      <c r="H19" s="100">
        <f t="shared" si="0"/>
        <v>0</v>
      </c>
      <c r="I19" s="71">
        <f t="shared" si="1"/>
        <v>0</v>
      </c>
      <c r="J19" s="71">
        <f t="shared" si="2"/>
        <v>0</v>
      </c>
      <c r="K19" s="101">
        <f t="shared" si="3"/>
        <v>0</v>
      </c>
      <c r="L19" s="102">
        <f t="shared" si="4"/>
        <v>0</v>
      </c>
      <c r="M19" s="103">
        <f t="shared" si="5"/>
        <v>0</v>
      </c>
      <c r="N19" s="104">
        <f t="shared" si="6"/>
      </c>
      <c r="O19" s="57"/>
      <c r="P19" s="57"/>
      <c r="Q19" s="57"/>
      <c r="R19" s="57"/>
    </row>
    <row r="20" spans="1:18" ht="15">
      <c r="A20" s="164" t="s">
        <v>47</v>
      </c>
      <c r="B20" s="151"/>
      <c r="C20" s="63"/>
      <c r="D20" s="63"/>
      <c r="E20" s="79"/>
      <c r="F20" s="131">
        <v>5E-08</v>
      </c>
      <c r="G20" s="130">
        <v>1</v>
      </c>
      <c r="H20" s="100">
        <f t="shared" si="0"/>
        <v>0</v>
      </c>
      <c r="I20" s="71">
        <f t="shared" si="1"/>
        <v>0</v>
      </c>
      <c r="J20" s="71">
        <f t="shared" si="2"/>
        <v>0</v>
      </c>
      <c r="K20" s="101">
        <f t="shared" si="3"/>
        <v>0</v>
      </c>
      <c r="L20" s="102">
        <f t="shared" si="4"/>
        <v>0</v>
      </c>
      <c r="M20" s="103">
        <f t="shared" si="5"/>
        <v>0</v>
      </c>
      <c r="N20" s="104">
        <f t="shared" si="6"/>
      </c>
      <c r="O20" s="57"/>
      <c r="P20" s="57"/>
      <c r="Q20" s="57"/>
      <c r="R20" s="57"/>
    </row>
    <row r="21" spans="1:18" ht="15">
      <c r="A21" s="164" t="s">
        <v>48</v>
      </c>
      <c r="B21" s="151"/>
      <c r="C21" s="63"/>
      <c r="D21" s="63"/>
      <c r="E21" s="79"/>
      <c r="F21" s="131">
        <v>5E-08</v>
      </c>
      <c r="G21" s="130">
        <v>1</v>
      </c>
      <c r="H21" s="100">
        <f t="shared" si="0"/>
        <v>0</v>
      </c>
      <c r="I21" s="71">
        <f t="shared" si="1"/>
        <v>0</v>
      </c>
      <c r="J21" s="71">
        <f t="shared" si="2"/>
        <v>0</v>
      </c>
      <c r="K21" s="101">
        <f t="shared" si="3"/>
        <v>0</v>
      </c>
      <c r="L21" s="102">
        <f t="shared" si="4"/>
        <v>0</v>
      </c>
      <c r="M21" s="103">
        <f t="shared" si="5"/>
        <v>0</v>
      </c>
      <c r="N21" s="104">
        <f t="shared" si="6"/>
      </c>
      <c r="O21" s="57"/>
      <c r="P21" s="57"/>
      <c r="Q21" s="57"/>
      <c r="R21" s="57"/>
    </row>
    <row r="22" spans="1:18" ht="15">
      <c r="A22" s="164" t="s">
        <v>49</v>
      </c>
      <c r="B22" s="151"/>
      <c r="C22" s="63"/>
      <c r="D22" s="63"/>
      <c r="E22" s="79"/>
      <c r="F22" s="132">
        <v>5E-08</v>
      </c>
      <c r="G22" s="130">
        <v>1</v>
      </c>
      <c r="H22" s="106">
        <f t="shared" si="0"/>
        <v>0</v>
      </c>
      <c r="I22" s="107">
        <f t="shared" si="1"/>
        <v>0</v>
      </c>
      <c r="J22" s="107">
        <f t="shared" si="2"/>
        <v>0</v>
      </c>
      <c r="K22" s="108">
        <f t="shared" si="3"/>
        <v>0</v>
      </c>
      <c r="L22" s="109">
        <f t="shared" si="4"/>
        <v>0</v>
      </c>
      <c r="M22" s="110">
        <f t="shared" si="5"/>
        <v>0</v>
      </c>
      <c r="N22" s="111">
        <f t="shared" si="6"/>
      </c>
      <c r="O22" s="57"/>
      <c r="P22" s="57"/>
      <c r="Q22" s="57"/>
      <c r="R22" s="57"/>
    </row>
    <row r="23" spans="10:17" ht="6" customHeight="1">
      <c r="J23" s="57"/>
      <c r="K23" s="57"/>
      <c r="L23" s="57"/>
      <c r="M23" s="57"/>
      <c r="N23" s="57"/>
      <c r="O23" s="57"/>
      <c r="P23" s="57"/>
      <c r="Q23" s="57"/>
    </row>
    <row r="24" spans="1:17" ht="21" customHeight="1">
      <c r="A24" s="196" t="s">
        <v>198</v>
      </c>
      <c r="B24" s="197"/>
      <c r="C24" s="197"/>
      <c r="D24" s="198"/>
      <c r="E24" s="168" t="s">
        <v>33</v>
      </c>
      <c r="G24" s="112" t="s">
        <v>178</v>
      </c>
      <c r="H24" s="113"/>
      <c r="I24" s="114"/>
      <c r="J24" s="114"/>
      <c r="K24" s="113"/>
      <c r="L24" s="113"/>
      <c r="M24" s="113"/>
      <c r="N24" s="113"/>
      <c r="O24" s="113"/>
      <c r="P24" s="115"/>
      <c r="Q24" s="57"/>
    </row>
    <row r="25" spans="1:17" ht="14.25" customHeight="1">
      <c r="A25" s="192" t="s">
        <v>179</v>
      </c>
      <c r="B25" s="193"/>
      <c r="C25" s="69">
        <f>(C$13/F$13)+(C$14/F$14)+(C$15/F$15)+(C$16/F$16)+(C$17/F$17)+(C$18/F$18)+(C$19/F$19)+(C$20/F$20)+(C$21/F$21)+(C$22/F$22)</f>
        <v>21200000000</v>
      </c>
      <c r="D25" s="89"/>
      <c r="E25" s="81"/>
      <c r="G25" s="116"/>
      <c r="H25" s="117"/>
      <c r="I25" s="118"/>
      <c r="J25" s="117"/>
      <c r="K25" s="117"/>
      <c r="L25" s="117"/>
      <c r="M25" s="117"/>
      <c r="N25" s="117"/>
      <c r="O25" s="117"/>
      <c r="P25" s="119"/>
      <c r="Q25" s="57"/>
    </row>
    <row r="26" spans="1:17" ht="14.25">
      <c r="A26" s="192" t="s">
        <v>190</v>
      </c>
      <c r="B26" s="193"/>
      <c r="C26" s="69">
        <f>SUM(C13:C22)</f>
        <v>1060</v>
      </c>
      <c r="D26" s="87" t="s">
        <v>199</v>
      </c>
      <c r="E26" s="194">
        <f>IF(C9=C26,"","Warning: total areas do not match")</f>
      </c>
      <c r="F26" s="195"/>
      <c r="G26" s="116"/>
      <c r="H26" s="117"/>
      <c r="I26" s="117"/>
      <c r="J26" s="117"/>
      <c r="K26" s="117"/>
      <c r="L26" s="117"/>
      <c r="M26" s="117"/>
      <c r="N26" s="117"/>
      <c r="O26" s="117"/>
      <c r="P26" s="119"/>
      <c r="Q26" s="57"/>
    </row>
    <row r="27" spans="1:17" ht="15">
      <c r="A27" s="192" t="s">
        <v>191</v>
      </c>
      <c r="B27" s="193"/>
      <c r="C27" s="72">
        <f>IF(C26=0,0,(((C13*D13)+(C14*D14)+(C15*D15)+(C16*D16)+(C17*D17)+(C18*D18)+(C19*D19)+(C20*D20)+(C21*D21)+(C22*D22))/C26))</f>
        <v>67.92264150943396</v>
      </c>
      <c r="D27" s="88" t="s">
        <v>192</v>
      </c>
      <c r="E27" s="194"/>
      <c r="F27" s="195"/>
      <c r="G27" s="116"/>
      <c r="H27" s="117"/>
      <c r="I27" s="117"/>
      <c r="J27" s="117"/>
      <c r="K27" s="117"/>
      <c r="L27" s="117"/>
      <c r="M27" s="117"/>
      <c r="N27" s="117"/>
      <c r="O27" s="117"/>
      <c r="P27" s="119"/>
      <c r="Q27" s="57"/>
    </row>
    <row r="28" spans="1:17" ht="15">
      <c r="A28" s="192" t="s">
        <v>162</v>
      </c>
      <c r="B28" s="193"/>
      <c r="C28" s="72">
        <f>IF(C26=0,0,(((C13*F13)+(C14*F14)+(C15*F15)+(C16*F16)+(C17*F17)+(C18*F18)+(C19*F19)+(C20*F20)+(C21*F21)+(C22*F22))/C26))</f>
        <v>5E-08</v>
      </c>
      <c r="D28" s="88" t="s">
        <v>193</v>
      </c>
      <c r="G28" s="116"/>
      <c r="H28" s="117"/>
      <c r="I28" s="117"/>
      <c r="J28" s="117"/>
      <c r="K28" s="117"/>
      <c r="L28" s="117"/>
      <c r="M28" s="117"/>
      <c r="N28" s="117"/>
      <c r="O28" s="117"/>
      <c r="P28" s="119"/>
      <c r="Q28" s="57"/>
    </row>
    <row r="29" spans="1:17" ht="14.25">
      <c r="A29" s="192" t="s">
        <v>194</v>
      </c>
      <c r="B29" s="193"/>
      <c r="C29" s="120">
        <f>((C13*E13)+(C14*E14)+(C15*E15)+(C16*E16)+(C17*E17)+(C18*E18)+(C19*E19)+(C20*E20)+(C21*E21)+(C22*E22))/SUM(C13:C22)</f>
        <v>14.77754716981132</v>
      </c>
      <c r="D29" s="91"/>
      <c r="G29" s="116"/>
      <c r="H29" s="117"/>
      <c r="I29" s="117"/>
      <c r="J29" s="117"/>
      <c r="K29" s="117"/>
      <c r="L29" s="117"/>
      <c r="M29" s="117"/>
      <c r="N29" s="117"/>
      <c r="O29" s="117"/>
      <c r="P29" s="119"/>
      <c r="Q29" s="57"/>
    </row>
    <row r="30" spans="1:17" ht="14.25">
      <c r="A30" s="192" t="s">
        <v>195</v>
      </c>
      <c r="B30" s="193"/>
      <c r="C30" s="121">
        <f>((C13*M13)+(C14*M14)+(C15*M15)+(C16*M16)+(C17*M17)+(C18*M18)+(C19*M19)+(C20*M20)+(C21*M21)+(C22*M22))/SUM(C13:C22)</f>
        <v>218.476579245283</v>
      </c>
      <c r="D30" s="91"/>
      <c r="G30" s="116"/>
      <c r="H30" s="117"/>
      <c r="I30" s="117"/>
      <c r="J30" s="117"/>
      <c r="K30" s="117"/>
      <c r="L30" s="117"/>
      <c r="M30" s="117"/>
      <c r="N30" s="117"/>
      <c r="O30" s="117"/>
      <c r="P30" s="119"/>
      <c r="Q30" s="57"/>
    </row>
    <row r="31" spans="7:17" ht="12.75">
      <c r="G31" s="116"/>
      <c r="H31" s="117"/>
      <c r="I31" s="117"/>
      <c r="J31" s="117"/>
      <c r="K31" s="117"/>
      <c r="L31" s="117"/>
      <c r="M31" s="117"/>
      <c r="N31" s="117"/>
      <c r="O31" s="117"/>
      <c r="P31" s="119"/>
      <c r="Q31" s="57"/>
    </row>
    <row r="32" spans="1:17" ht="13.5" customHeight="1">
      <c r="A32" s="208" t="s">
        <v>188</v>
      </c>
      <c r="B32" s="209"/>
      <c r="C32" s="209"/>
      <c r="D32" s="209"/>
      <c r="E32" s="209"/>
      <c r="F32" s="210"/>
      <c r="G32" s="116"/>
      <c r="H32" s="117"/>
      <c r="I32" s="117"/>
      <c r="J32" s="117"/>
      <c r="K32" s="117"/>
      <c r="L32" s="117"/>
      <c r="M32" s="117"/>
      <c r="N32" s="117"/>
      <c r="O32" s="117"/>
      <c r="P32" s="119"/>
      <c r="Q32" s="57"/>
    </row>
    <row r="33" spans="1:17" ht="36" customHeight="1">
      <c r="A33" s="162"/>
      <c r="B33" s="152"/>
      <c r="C33" s="160" t="s">
        <v>219</v>
      </c>
      <c r="D33" s="159"/>
      <c r="E33" s="160" t="s">
        <v>163</v>
      </c>
      <c r="F33" s="159"/>
      <c r="G33" s="116"/>
      <c r="H33" s="117"/>
      <c r="I33" s="117"/>
      <c r="J33" s="117"/>
      <c r="K33" s="117"/>
      <c r="L33" s="117"/>
      <c r="M33" s="117"/>
      <c r="N33" s="117"/>
      <c r="O33" s="117"/>
      <c r="P33" s="119"/>
      <c r="Q33" s="57"/>
    </row>
    <row r="34" spans="1:17" ht="38.25">
      <c r="A34" s="83" t="s">
        <v>164</v>
      </c>
      <c r="B34" s="153" t="s">
        <v>218</v>
      </c>
      <c r="C34" s="84" t="s">
        <v>189</v>
      </c>
      <c r="D34" s="85" t="s">
        <v>18</v>
      </c>
      <c r="E34" s="86" t="s">
        <v>189</v>
      </c>
      <c r="F34" s="144" t="s">
        <v>18</v>
      </c>
      <c r="G34" s="123" t="s">
        <v>180</v>
      </c>
      <c r="H34" s="117"/>
      <c r="I34" s="117"/>
      <c r="J34" s="117"/>
      <c r="K34" s="117"/>
      <c r="L34" s="117"/>
      <c r="M34" s="117"/>
      <c r="N34" s="117"/>
      <c r="O34" s="117"/>
      <c r="P34" s="119"/>
      <c r="Q34" s="57"/>
    </row>
    <row r="35" spans="1:17" ht="18.75">
      <c r="A35" s="216" t="s">
        <v>200</v>
      </c>
      <c r="B35" s="217"/>
      <c r="C35" s="169">
        <f>IF(C9&gt;0,(C8/(C6*C27))^2*(SUM(I13:I22)*SUM(J13:J22)),"")</f>
        <v>18.183928571434272</v>
      </c>
      <c r="D35" s="170"/>
      <c r="E35" s="171">
        <f>IF(C$9&gt;0,(SUM(K13:K22)^2)/(((((C$26/AVERAGE(F13:F22))^2)*(C27*C6)^2)/C8^2)+SUM(L13:L22)),"")</f>
        <v>18.183928555830132</v>
      </c>
      <c r="F35" s="171"/>
      <c r="G35" s="123"/>
      <c r="H35" s="117"/>
      <c r="I35" s="117"/>
      <c r="J35" s="117"/>
      <c r="K35" s="117"/>
      <c r="L35" s="117"/>
      <c r="M35" s="117"/>
      <c r="N35" s="117"/>
      <c r="O35" s="117"/>
      <c r="P35" s="119"/>
      <c r="Q35" s="57"/>
    </row>
    <row r="36" spans="1:17" ht="18">
      <c r="A36" s="133" t="str">
        <f aca="true" t="shared" si="7" ref="A36:A45">A13</f>
        <v>Strata 1  第一层</v>
      </c>
      <c r="B36" s="155" t="str">
        <f>IF(B13="","",B13)</f>
        <v>Eupatorium domin.</v>
      </c>
      <c r="C36" s="169">
        <f>IF(C$9&gt;0,C$35*(J13/SUM(J$13:J$22)),"")</f>
        <v>6.360578990858306</v>
      </c>
      <c r="D36" s="172">
        <f>IF(C36="","",ROUNDUP(C36,0))</f>
        <v>7</v>
      </c>
      <c r="E36" s="171">
        <f>IF(C$9&gt;0,E$35*((K13/(SUM(K$13:K$22)))),"")</f>
        <v>6.360578985400114</v>
      </c>
      <c r="F36" s="173">
        <f aca="true" t="shared" si="8" ref="F36:F45">IF(E36="","",ROUNDUP(E36,0))</f>
        <v>7</v>
      </c>
      <c r="G36" s="123"/>
      <c r="H36" s="117"/>
      <c r="I36" s="117"/>
      <c r="J36" s="117"/>
      <c r="K36" s="117"/>
      <c r="L36" s="117"/>
      <c r="M36" s="117"/>
      <c r="N36" s="117"/>
      <c r="O36" s="117"/>
      <c r="P36" s="119"/>
      <c r="Q36" s="57"/>
    </row>
    <row r="37" spans="1:17" ht="12.75">
      <c r="A37" s="133" t="str">
        <f t="shared" si="7"/>
        <v>Strata 2  第二层</v>
      </c>
      <c r="B37" s="155" t="str">
        <f aca="true" t="shared" si="9" ref="B37:B45">IF(B14="","",B14)</f>
        <v>Eupatorium with Trees</v>
      </c>
      <c r="C37" s="169">
        <f aca="true" t="shared" si="10" ref="C37:C45">IF(C$9&gt;0,C$35*(J14/SUM(J$13:J$22)),"")</f>
        <v>11.823349580575968</v>
      </c>
      <c r="D37" s="172">
        <f aca="true" t="shared" si="11" ref="D37:D45">IF(C37="","",ROUNDUP(C37,0))</f>
        <v>12</v>
      </c>
      <c r="E37" s="171">
        <f aca="true" t="shared" si="12" ref="E37:E45">IF(C$9&gt;0,E$35*((K14/(SUM(K$13:K$22)))),"")</f>
        <v>11.823349570430018</v>
      </c>
      <c r="F37" s="173">
        <f t="shared" si="8"/>
        <v>12</v>
      </c>
      <c r="G37" s="116"/>
      <c r="H37" s="117"/>
      <c r="I37" s="117"/>
      <c r="J37" s="117"/>
      <c r="K37" s="117"/>
      <c r="L37" s="117"/>
      <c r="M37" s="117"/>
      <c r="N37" s="117"/>
      <c r="O37" s="117"/>
      <c r="P37" s="119"/>
      <c r="Q37" s="57"/>
    </row>
    <row r="38" spans="1:17" ht="12.75">
      <c r="A38" s="133" t="str">
        <f t="shared" si="7"/>
        <v>Strata 3  第三层</v>
      </c>
      <c r="B38" s="155">
        <f t="shared" si="9"/>
      </c>
      <c r="C38" s="169">
        <f t="shared" si="10"/>
        <v>0</v>
      </c>
      <c r="D38" s="172">
        <f t="shared" si="11"/>
        <v>0</v>
      </c>
      <c r="E38" s="171">
        <f t="shared" si="12"/>
        <v>0</v>
      </c>
      <c r="F38" s="173">
        <f t="shared" si="8"/>
        <v>0</v>
      </c>
      <c r="G38" s="116"/>
      <c r="H38" s="117"/>
      <c r="I38" s="117"/>
      <c r="J38" s="117"/>
      <c r="K38" s="117"/>
      <c r="L38" s="117"/>
      <c r="M38" s="117"/>
      <c r="N38" s="117"/>
      <c r="O38" s="117"/>
      <c r="P38" s="119"/>
      <c r="Q38" s="57"/>
    </row>
    <row r="39" spans="1:17" ht="12.75">
      <c r="A39" s="133" t="str">
        <f t="shared" si="7"/>
        <v>Strata 4  第四层</v>
      </c>
      <c r="B39" s="155">
        <f t="shared" si="9"/>
      </c>
      <c r="C39" s="169">
        <f t="shared" si="10"/>
        <v>0</v>
      </c>
      <c r="D39" s="172">
        <f t="shared" si="11"/>
        <v>0</v>
      </c>
      <c r="E39" s="171">
        <f t="shared" si="12"/>
        <v>0</v>
      </c>
      <c r="F39" s="173">
        <f t="shared" si="8"/>
        <v>0</v>
      </c>
      <c r="G39" s="116"/>
      <c r="H39" s="117"/>
      <c r="I39" s="117"/>
      <c r="J39" s="117"/>
      <c r="K39" s="117"/>
      <c r="L39" s="117"/>
      <c r="M39" s="117"/>
      <c r="N39" s="117"/>
      <c r="O39" s="117"/>
      <c r="P39" s="119"/>
      <c r="Q39" s="57"/>
    </row>
    <row r="40" spans="1:17" ht="12.75">
      <c r="A40" s="133" t="str">
        <f t="shared" si="7"/>
        <v>Strata 5  第五层</v>
      </c>
      <c r="B40" s="155">
        <f t="shared" si="9"/>
      </c>
      <c r="C40" s="169">
        <f t="shared" si="10"/>
        <v>0</v>
      </c>
      <c r="D40" s="172">
        <f t="shared" si="11"/>
        <v>0</v>
      </c>
      <c r="E40" s="171">
        <f t="shared" si="12"/>
        <v>0</v>
      </c>
      <c r="F40" s="173">
        <f t="shared" si="8"/>
        <v>0</v>
      </c>
      <c r="G40" s="116"/>
      <c r="H40" s="117"/>
      <c r="I40" s="117"/>
      <c r="J40" s="117"/>
      <c r="K40" s="117"/>
      <c r="L40" s="117"/>
      <c r="M40" s="117"/>
      <c r="N40" s="117"/>
      <c r="O40" s="117"/>
      <c r="P40" s="119"/>
      <c r="Q40" s="57"/>
    </row>
    <row r="41" spans="1:17" ht="12.75">
      <c r="A41" s="133" t="str">
        <f t="shared" si="7"/>
        <v>Strata 6  第六层</v>
      </c>
      <c r="B41" s="155">
        <f t="shared" si="9"/>
      </c>
      <c r="C41" s="169">
        <f t="shared" si="10"/>
        <v>0</v>
      </c>
      <c r="D41" s="172">
        <f t="shared" si="11"/>
        <v>0</v>
      </c>
      <c r="E41" s="171">
        <f t="shared" si="12"/>
        <v>0</v>
      </c>
      <c r="F41" s="173">
        <f t="shared" si="8"/>
        <v>0</v>
      </c>
      <c r="G41" s="116"/>
      <c r="H41" s="117"/>
      <c r="I41" s="117"/>
      <c r="J41" s="117"/>
      <c r="K41" s="117"/>
      <c r="L41" s="117"/>
      <c r="M41" s="117"/>
      <c r="N41" s="117"/>
      <c r="O41" s="117"/>
      <c r="P41" s="119"/>
      <c r="Q41" s="57"/>
    </row>
    <row r="42" spans="1:17" ht="12.75">
      <c r="A42" s="133" t="str">
        <f t="shared" si="7"/>
        <v>Strata 7  第七层</v>
      </c>
      <c r="B42" s="155">
        <f t="shared" si="9"/>
      </c>
      <c r="C42" s="169">
        <f t="shared" si="10"/>
        <v>0</v>
      </c>
      <c r="D42" s="172">
        <f t="shared" si="11"/>
        <v>0</v>
      </c>
      <c r="E42" s="171">
        <f t="shared" si="12"/>
        <v>0</v>
      </c>
      <c r="F42" s="173">
        <f t="shared" si="8"/>
        <v>0</v>
      </c>
      <c r="G42" s="116"/>
      <c r="H42" s="117"/>
      <c r="I42" s="117"/>
      <c r="J42" s="117"/>
      <c r="K42" s="117"/>
      <c r="L42" s="117"/>
      <c r="M42" s="117"/>
      <c r="N42" s="117"/>
      <c r="O42" s="117"/>
      <c r="P42" s="119"/>
      <c r="Q42" s="57"/>
    </row>
    <row r="43" spans="1:17" ht="12.75">
      <c r="A43" s="133" t="str">
        <f t="shared" si="7"/>
        <v>Strata 8  第八层</v>
      </c>
      <c r="B43" s="155">
        <f t="shared" si="9"/>
      </c>
      <c r="C43" s="169">
        <f t="shared" si="10"/>
        <v>0</v>
      </c>
      <c r="D43" s="172">
        <f t="shared" si="11"/>
        <v>0</v>
      </c>
      <c r="E43" s="171">
        <f t="shared" si="12"/>
        <v>0</v>
      </c>
      <c r="F43" s="173">
        <f t="shared" si="8"/>
        <v>0</v>
      </c>
      <c r="G43" s="116"/>
      <c r="H43" s="117"/>
      <c r="I43" s="117"/>
      <c r="J43" s="117"/>
      <c r="K43" s="117"/>
      <c r="L43" s="117"/>
      <c r="M43" s="117"/>
      <c r="N43" s="117"/>
      <c r="O43" s="117"/>
      <c r="P43" s="119"/>
      <c r="Q43" s="57"/>
    </row>
    <row r="44" spans="1:17" ht="12.75">
      <c r="A44" s="133" t="str">
        <f t="shared" si="7"/>
        <v>Strata 9  第九层</v>
      </c>
      <c r="B44" s="155">
        <f t="shared" si="9"/>
      </c>
      <c r="C44" s="169">
        <f t="shared" si="10"/>
        <v>0</v>
      </c>
      <c r="D44" s="172">
        <f t="shared" si="11"/>
        <v>0</v>
      </c>
      <c r="E44" s="171">
        <f t="shared" si="12"/>
        <v>0</v>
      </c>
      <c r="F44" s="173">
        <f t="shared" si="8"/>
        <v>0</v>
      </c>
      <c r="G44" s="116"/>
      <c r="H44" s="117"/>
      <c r="I44" s="117"/>
      <c r="J44" s="117"/>
      <c r="K44" s="117"/>
      <c r="L44" s="117"/>
      <c r="M44" s="117"/>
      <c r="N44" s="117"/>
      <c r="O44" s="117"/>
      <c r="P44" s="119"/>
      <c r="Q44" s="57"/>
    </row>
    <row r="45" spans="1:17" ht="12.75">
      <c r="A45" s="133" t="str">
        <f t="shared" si="7"/>
        <v>Strata 10 第十层</v>
      </c>
      <c r="B45" s="155">
        <f t="shared" si="9"/>
      </c>
      <c r="C45" s="169">
        <f t="shared" si="10"/>
        <v>0</v>
      </c>
      <c r="D45" s="172">
        <f t="shared" si="11"/>
        <v>0</v>
      </c>
      <c r="E45" s="171">
        <f t="shared" si="12"/>
        <v>0</v>
      </c>
      <c r="F45" s="173">
        <f t="shared" si="8"/>
        <v>0</v>
      </c>
      <c r="G45" s="116"/>
      <c r="H45" s="117"/>
      <c r="I45" s="117"/>
      <c r="J45" s="117"/>
      <c r="K45" s="117"/>
      <c r="L45" s="117"/>
      <c r="M45" s="117"/>
      <c r="N45" s="117"/>
      <c r="O45" s="117"/>
      <c r="P45" s="119"/>
      <c r="Q45" s="57"/>
    </row>
    <row r="46" spans="1:17" ht="12.75">
      <c r="A46" s="134" t="s">
        <v>165</v>
      </c>
      <c r="B46" s="156"/>
      <c r="C46" s="174"/>
      <c r="D46" s="175">
        <f>SUM(D36:D45)</f>
        <v>19</v>
      </c>
      <c r="E46" s="176"/>
      <c r="F46" s="173">
        <f>SUM(F36:F45)</f>
        <v>19</v>
      </c>
      <c r="G46" s="116"/>
      <c r="H46" s="117"/>
      <c r="I46" s="117"/>
      <c r="J46" s="117"/>
      <c r="K46" s="117"/>
      <c r="L46" s="117"/>
      <c r="M46" s="117"/>
      <c r="N46" s="117"/>
      <c r="O46" s="117"/>
      <c r="P46" s="119"/>
      <c r="Q46" s="57"/>
    </row>
    <row r="47" spans="7:17" ht="12.75" customHeight="1">
      <c r="G47" s="202" t="s">
        <v>209</v>
      </c>
      <c r="H47" s="203"/>
      <c r="I47" s="203"/>
      <c r="J47" s="203"/>
      <c r="K47" s="203"/>
      <c r="L47" s="203"/>
      <c r="M47" s="203"/>
      <c r="N47" s="203"/>
      <c r="O47" s="203"/>
      <c r="P47" s="204"/>
      <c r="Q47" s="57"/>
    </row>
    <row r="48" spans="7:17" ht="13.5" customHeight="1">
      <c r="G48" s="202" t="s">
        <v>181</v>
      </c>
      <c r="H48" s="203"/>
      <c r="I48" s="203"/>
      <c r="J48" s="203"/>
      <c r="K48" s="203"/>
      <c r="L48" s="203"/>
      <c r="M48" s="203"/>
      <c r="N48" s="203"/>
      <c r="O48" s="203"/>
      <c r="P48" s="119"/>
      <c r="Q48" s="57"/>
    </row>
    <row r="49" spans="7:17" ht="12.75" customHeight="1">
      <c r="G49" s="202" t="s">
        <v>182</v>
      </c>
      <c r="H49" s="203"/>
      <c r="I49" s="203"/>
      <c r="J49" s="203"/>
      <c r="K49" s="203"/>
      <c r="L49" s="203"/>
      <c r="M49" s="203"/>
      <c r="N49" s="203"/>
      <c r="O49" s="203"/>
      <c r="P49" s="204"/>
      <c r="Q49" s="57"/>
    </row>
    <row r="50" spans="7:17" ht="12.75" customHeight="1">
      <c r="G50" s="213" t="s">
        <v>183</v>
      </c>
      <c r="H50" s="214"/>
      <c r="I50" s="214"/>
      <c r="J50" s="214"/>
      <c r="K50" s="214"/>
      <c r="L50" s="214"/>
      <c r="M50" s="214"/>
      <c r="N50" s="214"/>
      <c r="O50" s="214"/>
      <c r="P50" s="215"/>
      <c r="Q50" s="57"/>
    </row>
    <row r="51" spans="7:17" ht="12.75" customHeight="1">
      <c r="G51" s="213" t="s">
        <v>184</v>
      </c>
      <c r="H51" s="214"/>
      <c r="I51" s="214"/>
      <c r="J51" s="214"/>
      <c r="K51" s="214"/>
      <c r="L51" s="214"/>
      <c r="M51" s="214"/>
      <c r="N51" s="214"/>
      <c r="O51" s="214"/>
      <c r="P51" s="215"/>
      <c r="Q51" s="57"/>
    </row>
    <row r="52" spans="1:17" ht="15.75">
      <c r="A52" s="73" t="s">
        <v>166</v>
      </c>
      <c r="G52" s="213" t="s">
        <v>185</v>
      </c>
      <c r="H52" s="214"/>
      <c r="I52" s="117"/>
      <c r="J52" s="117"/>
      <c r="K52" s="117"/>
      <c r="L52" s="117"/>
      <c r="M52" s="117"/>
      <c r="N52" s="117"/>
      <c r="O52" s="117"/>
      <c r="P52" s="119"/>
      <c r="Q52" s="57"/>
    </row>
    <row r="53" spans="1:17" ht="14.25" customHeight="1">
      <c r="A53" s="55" t="s">
        <v>167</v>
      </c>
      <c r="G53" s="213" t="s">
        <v>186</v>
      </c>
      <c r="H53" s="214"/>
      <c r="I53" s="117"/>
      <c r="J53" s="117"/>
      <c r="K53" s="117"/>
      <c r="L53" s="117"/>
      <c r="M53" s="117"/>
      <c r="N53" s="117"/>
      <c r="O53" s="117"/>
      <c r="P53" s="119"/>
      <c r="Q53" s="57"/>
    </row>
    <row r="54" spans="7:17" ht="5.25" customHeight="1">
      <c r="G54" s="116"/>
      <c r="H54" s="117"/>
      <c r="I54" s="117"/>
      <c r="J54" s="117"/>
      <c r="K54" s="117"/>
      <c r="L54" s="117"/>
      <c r="M54" s="117"/>
      <c r="N54" s="117"/>
      <c r="O54" s="117"/>
      <c r="P54" s="119"/>
      <c r="Q54" s="57"/>
    </row>
    <row r="55" spans="1:17" ht="12.75">
      <c r="A55" s="74" t="s">
        <v>168</v>
      </c>
      <c r="G55" s="116" t="s">
        <v>170</v>
      </c>
      <c r="H55" s="117"/>
      <c r="I55" s="117"/>
      <c r="J55" s="117"/>
      <c r="K55" s="117"/>
      <c r="L55" s="117"/>
      <c r="M55" s="117"/>
      <c r="N55" s="117"/>
      <c r="O55" s="117"/>
      <c r="P55" s="119"/>
      <c r="Q55" s="57"/>
    </row>
    <row r="56" spans="1:16" ht="12.75">
      <c r="A56" s="74" t="s">
        <v>169</v>
      </c>
      <c r="G56" s="125" t="s">
        <v>171</v>
      </c>
      <c r="H56" s="126"/>
      <c r="I56" s="126"/>
      <c r="J56" s="126"/>
      <c r="K56" s="126"/>
      <c r="L56" s="126"/>
      <c r="M56" s="126"/>
      <c r="N56" s="126"/>
      <c r="O56" s="126"/>
      <c r="P56" s="127"/>
    </row>
  </sheetData>
  <sheetProtection password="DDAD" sheet="1" objects="1" scenarios="1" selectLockedCells="1"/>
  <mergeCells count="25">
    <mergeCell ref="A35:B35"/>
    <mergeCell ref="A1:F1"/>
    <mergeCell ref="G47:P47"/>
    <mergeCell ref="G49:P49"/>
    <mergeCell ref="A4:D4"/>
    <mergeCell ref="A11:N11"/>
    <mergeCell ref="A32:F32"/>
    <mergeCell ref="A5:B5"/>
    <mergeCell ref="A6:B6"/>
    <mergeCell ref="G52:H52"/>
    <mergeCell ref="G53:H53"/>
    <mergeCell ref="G48:O48"/>
    <mergeCell ref="G50:P50"/>
    <mergeCell ref="G51:P51"/>
    <mergeCell ref="A7:B7"/>
    <mergeCell ref="A8:B8"/>
    <mergeCell ref="A9:B9"/>
    <mergeCell ref="A25:B25"/>
    <mergeCell ref="A30:B30"/>
    <mergeCell ref="A24:D24"/>
    <mergeCell ref="E26:F27"/>
    <mergeCell ref="A26:B26"/>
    <mergeCell ref="A27:B27"/>
    <mergeCell ref="A28:B28"/>
    <mergeCell ref="A29:B29"/>
  </mergeCells>
  <hyperlinks>
    <hyperlink ref="A56" r:id="rId1" display="CarbonServices@winrock.org"/>
    <hyperlink ref="A55" r:id="rId2" display="www.winrock.org"/>
    <hyperlink ref="E24" location="'Unit Costs 费用'!A1" display="GoTo Next"/>
  </hyperlinks>
  <printOptions horizontalCentered="1"/>
  <pageMargins left="0.23" right="0.31" top="0.5" bottom="0.5" header="0.5" footer="0.5"/>
  <pageSetup horizontalDpi="600" verticalDpi="600" orientation="landscape" scale="64" r:id="rId10"/>
  <colBreaks count="1" manualBreakCount="1">
    <brk id="16" max="65535" man="1"/>
  </colBreaks>
  <drawing r:id="rId9"/>
  <legacyDrawing r:id="rId8"/>
  <oleObjects>
    <oleObject progId="Equation.3" shapeId="1309270" r:id="rId4"/>
    <oleObject progId="Equation.3" shapeId="1309271" r:id="rId5"/>
    <oleObject progId="Equation.3" shapeId="1309272" r:id="rId6"/>
    <oleObject progId="Equation.3" shapeId="1309273" r:id="rId7"/>
  </oleObjects>
</worksheet>
</file>

<file path=xl/worksheets/sheet4.xml><?xml version="1.0" encoding="utf-8"?>
<worksheet xmlns="http://schemas.openxmlformats.org/spreadsheetml/2006/main" xmlns:r="http://schemas.openxmlformats.org/officeDocument/2006/relationships">
  <dimension ref="A1:J49"/>
  <sheetViews>
    <sheetView zoomScale="75" zoomScaleNormal="75" workbookViewId="0" topLeftCell="A1">
      <selection activeCell="B13" sqref="B13"/>
    </sheetView>
  </sheetViews>
  <sheetFormatPr defaultColWidth="9.140625" defaultRowHeight="12.75"/>
  <cols>
    <col min="1" max="1" width="49.28125" style="0" customWidth="1"/>
    <col min="2" max="2" width="14.7109375" style="0" bestFit="1" customWidth="1"/>
    <col min="3" max="3" width="13.7109375" style="0" customWidth="1"/>
    <col min="4" max="4" width="3.28125" style="0" customWidth="1"/>
    <col min="5" max="5" width="58.140625" style="0" customWidth="1"/>
    <col min="6" max="8" width="7.00390625" style="0" customWidth="1"/>
  </cols>
  <sheetData>
    <row r="1" spans="1:9" ht="20.25">
      <c r="A1" s="12" t="s">
        <v>20</v>
      </c>
      <c r="B1" s="12"/>
      <c r="C1" s="12"/>
      <c r="D1" s="12"/>
      <c r="E1" s="12"/>
      <c r="F1" s="12" t="s">
        <v>53</v>
      </c>
      <c r="G1" s="12"/>
      <c r="H1" s="12"/>
      <c r="I1" s="12"/>
    </row>
    <row r="2" ht="12.75">
      <c r="D2" s="1"/>
    </row>
    <row r="3" spans="1:9" s="42" customFormat="1" ht="13.5" thickBot="1">
      <c r="A3" s="43" t="s">
        <v>54</v>
      </c>
      <c r="B3" s="41"/>
      <c r="C3" s="41"/>
      <c r="E3" s="41" t="s">
        <v>21</v>
      </c>
      <c r="F3" s="41"/>
      <c r="G3" s="41"/>
      <c r="H3" s="41"/>
      <c r="I3" s="41"/>
    </row>
    <row r="4" spans="1:4" ht="14.25" thickBot="1" thickTop="1">
      <c r="A4" s="13" t="s">
        <v>55</v>
      </c>
      <c r="B4" s="17">
        <v>10</v>
      </c>
      <c r="C4" s="13" t="s">
        <v>56</v>
      </c>
      <c r="D4" s="18">
        <f>IF(OR(B4&lt;0,B4&gt;100,ISTEXT(B4)),"0-100","")</f>
      </c>
    </row>
    <row r="5" spans="1:9" ht="14.25" thickBot="1" thickTop="1">
      <c r="A5" s="4"/>
      <c r="E5" s="7" t="s">
        <v>6</v>
      </c>
      <c r="F5" s="21" t="s">
        <v>15</v>
      </c>
      <c r="G5" s="10" t="s">
        <v>16</v>
      </c>
      <c r="H5" s="10" t="s">
        <v>17</v>
      </c>
      <c r="I5" s="9" t="s">
        <v>2</v>
      </c>
    </row>
    <row r="6" spans="1:10" s="42" customFormat="1" ht="19.5" customHeight="1" thickBot="1" thickTop="1">
      <c r="A6" s="43" t="s">
        <v>57</v>
      </c>
      <c r="B6" s="47" t="s">
        <v>58</v>
      </c>
      <c r="C6" s="48" t="s">
        <v>59</v>
      </c>
      <c r="E6" s="44" t="s">
        <v>22</v>
      </c>
      <c r="F6" s="45">
        <v>5</v>
      </c>
      <c r="G6" s="45">
        <v>1</v>
      </c>
      <c r="H6" s="45">
        <v>1</v>
      </c>
      <c r="I6" s="44" t="s">
        <v>7</v>
      </c>
      <c r="J6" s="46">
        <f>IF(OR(F6&lt;0,G6&lt;0,H6&lt;0,ISTEXT(F6),ISTEXT(G6),ISTEXT(H6)),"&gt; 0","")</f>
      </c>
    </row>
    <row r="7" spans="1:10" ht="14.25" thickBot="1" thickTop="1">
      <c r="A7" s="25" t="s">
        <v>60</v>
      </c>
      <c r="B7" s="20">
        <v>1500</v>
      </c>
      <c r="C7" s="13" t="s">
        <v>63</v>
      </c>
      <c r="D7" s="18">
        <f>IF(OR(B7&lt;0,ISTEXT(B7)),"&gt;= 0","")</f>
      </c>
      <c r="E7" s="8" t="s">
        <v>26</v>
      </c>
      <c r="F7" s="17">
        <v>40</v>
      </c>
      <c r="G7" s="17">
        <v>1</v>
      </c>
      <c r="H7" s="17">
        <v>1</v>
      </c>
      <c r="I7" s="8" t="s">
        <v>7</v>
      </c>
      <c r="J7" s="18">
        <f>IF(OR(F7&lt;0,G7&lt;0,H7&lt;0,ISTEXT(F7),ISTEXT(G7),ISTEXT(H7)),"&gt; 0","")</f>
      </c>
    </row>
    <row r="8" spans="1:10" ht="14.25" thickBot="1" thickTop="1">
      <c r="A8" s="25" t="s">
        <v>61</v>
      </c>
      <c r="B8" s="20">
        <v>1000</v>
      </c>
      <c r="C8" s="8" t="s">
        <v>5</v>
      </c>
      <c r="D8" s="18">
        <f>IF(OR(B8&lt;0,ISTEXT(B8)),"&gt;= 0","")</f>
      </c>
      <c r="E8" s="8" t="s">
        <v>23</v>
      </c>
      <c r="F8" s="17">
        <v>60</v>
      </c>
      <c r="G8" s="17">
        <v>1</v>
      </c>
      <c r="H8" s="19">
        <v>1</v>
      </c>
      <c r="I8" s="8" t="s">
        <v>7</v>
      </c>
      <c r="J8" s="18">
        <f>IF(OR(F8&lt;0,G8&lt;0,H8&lt;0,ISTEXT(F8),ISTEXT(G8),ISTEXT(H8)),"&gt; 0","")</f>
      </c>
    </row>
    <row r="9" spans="1:10" ht="14.25" thickBot="1" thickTop="1">
      <c r="A9" s="49" t="s">
        <v>62</v>
      </c>
      <c r="B9" s="6">
        <f>SUM(B7:B8)</f>
        <v>2500</v>
      </c>
      <c r="C9" s="8" t="s">
        <v>5</v>
      </c>
      <c r="E9" s="8" t="s">
        <v>24</v>
      </c>
      <c r="F9" s="17">
        <v>20</v>
      </c>
      <c r="G9" s="17">
        <v>1</v>
      </c>
      <c r="H9" s="17">
        <v>1</v>
      </c>
      <c r="I9" s="8" t="s">
        <v>7</v>
      </c>
      <c r="J9" s="18">
        <f>IF(OR(F9&lt;0,G9&lt;0,H9&lt;0,ISTEXT(F9),ISTEXT(G9),ISTEXT(H9)),"&gt; 0","")</f>
      </c>
    </row>
    <row r="10" ht="13.5" thickTop="1">
      <c r="B10" s="2"/>
    </row>
    <row r="11" spans="1:9" ht="12.75">
      <c r="A11" s="16" t="s">
        <v>64</v>
      </c>
      <c r="B11" s="50" t="s">
        <v>58</v>
      </c>
      <c r="C11" s="50" t="s">
        <v>59</v>
      </c>
      <c r="E11" s="24" t="s">
        <v>25</v>
      </c>
      <c r="F11" s="24"/>
      <c r="G11" s="24"/>
      <c r="H11" s="51" t="s">
        <v>105</v>
      </c>
      <c r="I11" s="24"/>
    </row>
    <row r="12" spans="1:10" ht="13.5" thickBot="1">
      <c r="A12" s="13" t="s">
        <v>65</v>
      </c>
      <c r="B12" s="8"/>
      <c r="C12" s="8"/>
      <c r="E12" s="13" t="s">
        <v>106</v>
      </c>
      <c r="F12" s="128">
        <f>'Aboveground C - Plots 地上生物量'!F46</f>
        <v>53</v>
      </c>
      <c r="G12" s="8"/>
      <c r="H12" s="8"/>
      <c r="I12" s="8" t="s">
        <v>14</v>
      </c>
      <c r="J12" s="39" t="s">
        <v>113</v>
      </c>
    </row>
    <row r="13" spans="1:10" ht="14.25" thickBot="1" thickTop="1">
      <c r="A13" s="25" t="s">
        <v>66</v>
      </c>
      <c r="B13" s="20">
        <v>0</v>
      </c>
      <c r="C13" s="13" t="s">
        <v>68</v>
      </c>
      <c r="D13" s="18">
        <f>IF(OR(B13&lt;0,ISTEXT(B13)),"&gt;= 0","")</f>
      </c>
      <c r="E13" s="13" t="s">
        <v>107</v>
      </c>
      <c r="F13" s="11">
        <f>F7</f>
        <v>40</v>
      </c>
      <c r="G13" s="38">
        <f>G7</f>
        <v>1</v>
      </c>
      <c r="H13" s="11">
        <f>H7</f>
        <v>1</v>
      </c>
      <c r="I13" s="8" t="s">
        <v>7</v>
      </c>
      <c r="J13" s="39" t="s">
        <v>114</v>
      </c>
    </row>
    <row r="14" spans="1:10" ht="14.25" thickBot="1" thickTop="1">
      <c r="A14" s="25" t="s">
        <v>67</v>
      </c>
      <c r="B14" s="20">
        <v>6.5</v>
      </c>
      <c r="C14" s="8" t="s">
        <v>0</v>
      </c>
      <c r="D14" s="18">
        <f>IF(OR(B14&lt;0,ISTEXT(B14)),"&gt;= 0","")</f>
      </c>
      <c r="E14" s="13" t="s">
        <v>108</v>
      </c>
      <c r="F14" s="11">
        <f>ROUNDUP((F13*$F$12)/60,0)</f>
        <v>36</v>
      </c>
      <c r="G14" s="11">
        <f>ROUNDUP((G13*$F$12)/60,0)</f>
        <v>1</v>
      </c>
      <c r="H14" s="11">
        <f>ROUNDUP((H13*$F$12)/60,0)</f>
        <v>1</v>
      </c>
      <c r="I14" s="8" t="s">
        <v>8</v>
      </c>
      <c r="J14" s="39" t="s">
        <v>115</v>
      </c>
    </row>
    <row r="15" spans="1:10" ht="13.5" thickTop="1">
      <c r="A15" s="25" t="s">
        <v>69</v>
      </c>
      <c r="B15" s="6">
        <f>SUM(B13:B14)</f>
        <v>6.5</v>
      </c>
      <c r="C15" s="8" t="s">
        <v>0</v>
      </c>
      <c r="E15" s="13" t="s">
        <v>109</v>
      </c>
      <c r="F15" s="128">
        <f>' Soil C - Plots  土壤生物量'!F46</f>
        <v>19</v>
      </c>
      <c r="G15" s="8"/>
      <c r="H15" s="8"/>
      <c r="I15" s="8" t="s">
        <v>14</v>
      </c>
      <c r="J15" s="39" t="s">
        <v>113</v>
      </c>
    </row>
    <row r="16" spans="1:10" ht="13.5" thickBot="1">
      <c r="A16" s="13" t="s">
        <v>70</v>
      </c>
      <c r="B16" s="8"/>
      <c r="C16" s="8"/>
      <c r="E16" s="13" t="s">
        <v>110</v>
      </c>
      <c r="F16" s="11">
        <f>ROUNDUP(($F$15*F9)/60,0)</f>
        <v>7</v>
      </c>
      <c r="G16" s="11">
        <f>ROUNDUP(($F$15*G9)/60,0)</f>
        <v>1</v>
      </c>
      <c r="H16" s="11">
        <f>ROUNDUP(($F$15*H9)/60,0)</f>
        <v>1</v>
      </c>
      <c r="I16" s="8" t="s">
        <v>8</v>
      </c>
      <c r="J16" s="39" t="s">
        <v>115</v>
      </c>
    </row>
    <row r="17" spans="1:10" ht="14.25" thickBot="1" thickTop="1">
      <c r="A17" s="25" t="s">
        <v>72</v>
      </c>
      <c r="B17" s="20">
        <v>60</v>
      </c>
      <c r="C17" s="13" t="s">
        <v>71</v>
      </c>
      <c r="D17" s="18">
        <f>IF(OR(B17&lt;0,ISTEXT(B17)),"&gt;= 0","")</f>
      </c>
      <c r="E17" s="13" t="s">
        <v>111</v>
      </c>
      <c r="F17" s="11">
        <f>ROUNDUP(($F$12*F8)/60,0)</f>
        <v>53</v>
      </c>
      <c r="G17" s="11">
        <f>ROUNDUP(($F$12*G8)/60,0)</f>
        <v>1</v>
      </c>
      <c r="H17" s="11">
        <f>ROUNDUP(($F$12*H8)/60,0)</f>
        <v>1</v>
      </c>
      <c r="I17" s="8" t="s">
        <v>8</v>
      </c>
      <c r="J17" s="39" t="s">
        <v>116</v>
      </c>
    </row>
    <row r="18" spans="1:10" ht="27" thickBot="1" thickTop="1">
      <c r="A18" s="25" t="s">
        <v>73</v>
      </c>
      <c r="B18" s="20">
        <v>60</v>
      </c>
      <c r="C18" s="8" t="s">
        <v>1</v>
      </c>
      <c r="D18" s="18">
        <f>IF(OR(B18&lt;0,ISTEXT(B18)),"&gt;= 0","")</f>
      </c>
      <c r="E18" s="13" t="s">
        <v>112</v>
      </c>
      <c r="F18" s="38">
        <f>F16+F14+F17+ROUNDUP((MAX($F$12,$F$15)*F6)/60,0)</f>
        <v>101</v>
      </c>
      <c r="G18" s="38">
        <f>G16+G14+G17+ROUNDUP((MAX($F$12,$F$15)*G6)/60,0)</f>
        <v>4</v>
      </c>
      <c r="H18" s="11">
        <f>H16+H14+H17+ROUNDUP((MAX($F$12,$F$15)*H6)/60,0)</f>
        <v>4</v>
      </c>
      <c r="I18" s="8" t="s">
        <v>8</v>
      </c>
      <c r="J18" s="39" t="s">
        <v>115</v>
      </c>
    </row>
    <row r="19" spans="1:3" ht="14.25" thickBot="1" thickTop="1">
      <c r="A19" s="25" t="s">
        <v>74</v>
      </c>
      <c r="B19" s="6">
        <f>SUM(B17:B18)</f>
        <v>120</v>
      </c>
      <c r="C19" s="8" t="s">
        <v>1</v>
      </c>
    </row>
    <row r="20" spans="1:7" ht="14.25" thickBot="1" thickTop="1">
      <c r="A20" s="25" t="s">
        <v>75</v>
      </c>
      <c r="B20" s="20">
        <v>30</v>
      </c>
      <c r="C20" s="8" t="s">
        <v>1</v>
      </c>
      <c r="D20" s="18">
        <f>IF(OR(B20&lt;0,ISTEXT(B20)),"&gt;= 0","")</f>
      </c>
      <c r="E20" s="7" t="s">
        <v>9</v>
      </c>
      <c r="F20" s="7" t="s">
        <v>117</v>
      </c>
      <c r="G20" s="7"/>
    </row>
    <row r="21" spans="1:8" ht="14.25" thickBot="1" thickTop="1">
      <c r="A21" s="25" t="s">
        <v>76</v>
      </c>
      <c r="B21" s="20">
        <v>30</v>
      </c>
      <c r="C21" s="8" t="s">
        <v>1</v>
      </c>
      <c r="D21" s="18">
        <f>IF(OR(B21&lt;0,ISTEXT(B21)),"&gt;= 0","")</f>
      </c>
      <c r="E21" s="13" t="s">
        <v>118</v>
      </c>
      <c r="F21" s="19">
        <v>6</v>
      </c>
      <c r="G21" s="8" t="s">
        <v>8</v>
      </c>
      <c r="H21" s="18" t="s">
        <v>115</v>
      </c>
    </row>
    <row r="22" spans="1:8" ht="14.25" thickBot="1" thickTop="1">
      <c r="A22" s="25" t="s">
        <v>77</v>
      </c>
      <c r="B22" s="6">
        <f>SUM(B20:B21)</f>
        <v>60</v>
      </c>
      <c r="C22" s="8" t="s">
        <v>1</v>
      </c>
      <c r="E22" s="13" t="s">
        <v>119</v>
      </c>
      <c r="F22" s="17">
        <v>8</v>
      </c>
      <c r="G22" s="8" t="s">
        <v>8</v>
      </c>
      <c r="H22" s="18">
        <f>IF(OR(F22&lt;0,ISTEXT(F22)),"&gt; 0","")</f>
      </c>
    </row>
    <row r="23" spans="1:8" ht="14.25" thickBot="1" thickTop="1">
      <c r="A23" s="25" t="s">
        <v>78</v>
      </c>
      <c r="B23" s="6">
        <f>B22+B19</f>
        <v>180</v>
      </c>
      <c r="C23" s="8" t="s">
        <v>1</v>
      </c>
      <c r="E23" s="13" t="s">
        <v>120</v>
      </c>
      <c r="F23" s="17">
        <v>10</v>
      </c>
      <c r="G23" s="8" t="s">
        <v>8</v>
      </c>
      <c r="H23" s="18">
        <f>IF(OR(F23&lt;0,ISTEXT(F23)),"&gt; 0","")</f>
      </c>
    </row>
    <row r="24" spans="1:3" ht="14.25" thickBot="1" thickTop="1">
      <c r="A24" s="13" t="s">
        <v>79</v>
      </c>
      <c r="B24" s="8"/>
      <c r="C24" s="8"/>
    </row>
    <row r="25" spans="1:9" ht="14.25" thickBot="1" thickTop="1">
      <c r="A25" s="25" t="s">
        <v>80</v>
      </c>
      <c r="B25" s="20">
        <v>250</v>
      </c>
      <c r="C25" s="8" t="s">
        <v>1</v>
      </c>
      <c r="D25" s="18">
        <f aca="true" t="shared" si="0" ref="D25:D30">IF(OR(B25&lt;0,ISTEXT(B25)),"&gt;= 0","")</f>
      </c>
      <c r="E25" s="22" t="s">
        <v>11</v>
      </c>
      <c r="F25" s="7"/>
      <c r="G25" s="7"/>
      <c r="H25" s="7" t="s">
        <v>121</v>
      </c>
      <c r="I25" s="7"/>
    </row>
    <row r="26" spans="1:9" ht="14.25" thickBot="1" thickTop="1">
      <c r="A26" s="25" t="s">
        <v>81</v>
      </c>
      <c r="B26" s="20">
        <v>600</v>
      </c>
      <c r="C26" s="8" t="s">
        <v>1</v>
      </c>
      <c r="D26" s="18">
        <f t="shared" si="0"/>
      </c>
      <c r="E26" s="47" t="s">
        <v>122</v>
      </c>
      <c r="F26" s="21" t="s">
        <v>15</v>
      </c>
      <c r="G26" s="10" t="s">
        <v>16</v>
      </c>
      <c r="H26" s="10" t="s">
        <v>17</v>
      </c>
      <c r="I26" s="9" t="s">
        <v>2</v>
      </c>
    </row>
    <row r="27" spans="1:10" ht="14.25" thickBot="1" thickTop="1">
      <c r="A27" s="25" t="s">
        <v>82</v>
      </c>
      <c r="B27" s="20">
        <v>50</v>
      </c>
      <c r="C27" s="8" t="s">
        <v>1</v>
      </c>
      <c r="D27" s="18">
        <f t="shared" si="0"/>
      </c>
      <c r="E27" s="13" t="s">
        <v>123</v>
      </c>
      <c r="F27" s="11">
        <f>IF(F21=0,0,ROUNDUP($F$18/$F21,0))</f>
        <v>17</v>
      </c>
      <c r="G27" s="11">
        <f>IF(F21=0,0,ROUNDUP($G$18/$F21,0))</f>
        <v>1</v>
      </c>
      <c r="H27" s="11">
        <f>IF(F21=0,0,ROUNDUP($H$18/$F21,0))</f>
        <v>1</v>
      </c>
      <c r="I27" s="8" t="s">
        <v>10</v>
      </c>
      <c r="J27" s="39" t="s">
        <v>133</v>
      </c>
    </row>
    <row r="28" spans="1:9" ht="14.25" thickBot="1" thickTop="1">
      <c r="A28" s="25" t="s">
        <v>83</v>
      </c>
      <c r="B28" s="20">
        <v>0</v>
      </c>
      <c r="C28" s="8" t="s">
        <v>1</v>
      </c>
      <c r="D28" s="18">
        <f t="shared" si="0"/>
      </c>
      <c r="E28" s="13" t="s">
        <v>124</v>
      </c>
      <c r="F28" s="11">
        <f>IF(F22=0,0,ROUNDUP($F$18/$F22,0))</f>
        <v>13</v>
      </c>
      <c r="G28" s="11">
        <f>IF(F22=0,0,ROUNDUP($G$18/$F22,0))</f>
        <v>1</v>
      </c>
      <c r="H28" s="11">
        <f>IF(F22=0,0,ROUNDUP($H$18/$F22,0))</f>
        <v>1</v>
      </c>
      <c r="I28" s="8" t="s">
        <v>10</v>
      </c>
    </row>
    <row r="29" spans="1:9" ht="14.25" thickBot="1" thickTop="1">
      <c r="A29" s="25" t="s">
        <v>84</v>
      </c>
      <c r="B29" s="20">
        <v>3</v>
      </c>
      <c r="C29" s="8" t="s">
        <v>1</v>
      </c>
      <c r="D29" s="18">
        <f t="shared" si="0"/>
      </c>
      <c r="E29" s="13" t="s">
        <v>125</v>
      </c>
      <c r="F29" s="11">
        <f>IF(F23=0,0,ROUNDUP($F$18/$F23,0))</f>
        <v>11</v>
      </c>
      <c r="G29" s="11">
        <f>IF(F23=0,0,ROUNDUP($G$18/$F23,0))</f>
        <v>1</v>
      </c>
      <c r="H29" s="11">
        <f>IF(F23=0,0,ROUNDUP($H$18/$F23,0))</f>
        <v>1</v>
      </c>
      <c r="I29" s="8" t="s">
        <v>10</v>
      </c>
    </row>
    <row r="30" spans="1:9" ht="14.25" thickBot="1" thickTop="1">
      <c r="A30" s="25" t="s">
        <v>85</v>
      </c>
      <c r="B30" s="20">
        <v>20</v>
      </c>
      <c r="C30" s="8" t="s">
        <v>1</v>
      </c>
      <c r="D30" s="18">
        <f t="shared" si="0"/>
      </c>
      <c r="E30" s="47" t="s">
        <v>126</v>
      </c>
      <c r="F30" s="8"/>
      <c r="G30" s="8"/>
      <c r="H30" s="8"/>
      <c r="I30" s="8"/>
    </row>
    <row r="31" spans="1:9" ht="13.5" thickTop="1">
      <c r="A31" s="25" t="s">
        <v>86</v>
      </c>
      <c r="B31" s="6">
        <f>SUM(B25:B30)</f>
        <v>923</v>
      </c>
      <c r="C31" s="8" t="s">
        <v>1</v>
      </c>
      <c r="E31" s="13" t="s">
        <v>123</v>
      </c>
      <c r="F31" s="11">
        <f>IF(F21=0,0,ROUNDUP((F$18-F$17)/$F$21,0))</f>
        <v>8</v>
      </c>
      <c r="G31" s="11">
        <f>IF(F21=0,0,ROUNDUP((G$18-G$17)/$F$21,0))</f>
        <v>1</v>
      </c>
      <c r="H31" s="11">
        <f>IF(F21=0,0,ROUNDUP((H$18-H$17)/$F$21,0))</f>
        <v>1</v>
      </c>
      <c r="I31" s="8" t="s">
        <v>10</v>
      </c>
    </row>
    <row r="32" spans="1:9" ht="13.5" thickBot="1">
      <c r="A32" s="13" t="s">
        <v>87</v>
      </c>
      <c r="B32" s="8"/>
      <c r="C32" s="8"/>
      <c r="E32" s="13" t="s">
        <v>124</v>
      </c>
      <c r="F32" s="11">
        <f>IF(F22=0,0,ROUNDUP((F$18-F$17)/$F$22,0))</f>
        <v>6</v>
      </c>
      <c r="G32" s="11">
        <f>IF(F22=0,0,ROUNDUP((G$18-G$17)/$F$22,0))</f>
        <v>1</v>
      </c>
      <c r="H32" s="11">
        <f>IF(F22=0,0,ROUNDUP((H$18-H$17)/$F$22,0))</f>
        <v>1</v>
      </c>
      <c r="I32" s="8" t="s">
        <v>10</v>
      </c>
    </row>
    <row r="33" spans="1:9" ht="14.25" thickBot="1" thickTop="1">
      <c r="A33" s="25" t="s">
        <v>88</v>
      </c>
      <c r="B33" s="20">
        <v>10</v>
      </c>
      <c r="C33" s="13" t="s">
        <v>92</v>
      </c>
      <c r="D33" s="18">
        <f>IF(OR(B33&lt;0,ISTEXT(B33)),"&gt;= 0","")</f>
      </c>
      <c r="E33" s="13" t="s">
        <v>125</v>
      </c>
      <c r="F33" s="11">
        <f>IF(F23=0,0,ROUNDUP((F$18-F$17)/$F$23,0))</f>
        <v>5</v>
      </c>
      <c r="G33" s="11">
        <f>IF(F23=0,0,ROUNDUP((G$18-G$17)/$F$23,0))</f>
        <v>1</v>
      </c>
      <c r="H33" s="11">
        <f>IF(F23=0,0,ROUNDUP((H$18-H$17)/$F$23,0))</f>
        <v>1</v>
      </c>
      <c r="I33" s="8" t="s">
        <v>10</v>
      </c>
    </row>
    <row r="34" spans="1:9" ht="14.25" thickBot="1" thickTop="1">
      <c r="A34" s="25" t="s">
        <v>61</v>
      </c>
      <c r="B34" s="20">
        <v>0</v>
      </c>
      <c r="C34" s="8" t="s">
        <v>4</v>
      </c>
      <c r="D34" s="18">
        <f>IF(OR(B34&lt;0,ISTEXT(B34)),"&gt;= 0","")</f>
      </c>
      <c r="E34" s="1"/>
      <c r="F34" s="1"/>
      <c r="G34" s="1"/>
      <c r="H34" s="1"/>
      <c r="I34" s="1"/>
    </row>
    <row r="35" spans="1:7" ht="14.25" thickBot="1" thickTop="1">
      <c r="A35" s="25" t="s">
        <v>89</v>
      </c>
      <c r="B35" s="6">
        <f>SUM(B33:B34)</f>
        <v>10</v>
      </c>
      <c r="C35" s="8" t="s">
        <v>4</v>
      </c>
      <c r="E35" s="22" t="s">
        <v>12</v>
      </c>
      <c r="F35" s="7" t="s">
        <v>127</v>
      </c>
      <c r="G35" s="7"/>
    </row>
    <row r="36" spans="1:8" ht="14.25" thickBot="1" thickTop="1">
      <c r="A36" s="13" t="s">
        <v>90</v>
      </c>
      <c r="B36" s="8"/>
      <c r="C36" s="8"/>
      <c r="E36" s="13" t="s">
        <v>128</v>
      </c>
      <c r="F36" s="17">
        <v>2</v>
      </c>
      <c r="G36" s="8" t="s">
        <v>10</v>
      </c>
      <c r="H36" s="18">
        <f>IF(OR(F36&lt;0,ISTEXT(F36)),"&gt; 0","")</f>
      </c>
    </row>
    <row r="37" spans="1:4" ht="14.25" thickBot="1" thickTop="1">
      <c r="A37" s="25" t="s">
        <v>91</v>
      </c>
      <c r="B37" s="20">
        <v>80</v>
      </c>
      <c r="C37" s="8" t="s">
        <v>4</v>
      </c>
      <c r="D37" s="18">
        <f>IF(OR(B37&lt;0,ISTEXT(B37)),"&gt;= 0","")</f>
      </c>
    </row>
    <row r="38" spans="1:9" ht="14.25" thickBot="1" thickTop="1">
      <c r="A38" s="25" t="s">
        <v>93</v>
      </c>
      <c r="B38" s="20">
        <v>0</v>
      </c>
      <c r="C38" s="8" t="s">
        <v>4</v>
      </c>
      <c r="D38" s="18">
        <f>IF(OR(B38&lt;0,ISTEXT(B38)),"&gt;= 0","")</f>
      </c>
      <c r="E38" s="23" t="s">
        <v>27</v>
      </c>
      <c r="F38" s="22" t="s">
        <v>129</v>
      </c>
      <c r="G38" s="7"/>
      <c r="H38" s="7"/>
      <c r="I38" s="7"/>
    </row>
    <row r="39" spans="1:9" ht="14.25" thickBot="1" thickTop="1">
      <c r="A39" s="25" t="s">
        <v>94</v>
      </c>
      <c r="B39" s="20">
        <v>0</v>
      </c>
      <c r="C39" s="8" t="s">
        <v>4</v>
      </c>
      <c r="D39" s="18">
        <f>IF(OR(B39&lt;0,ISTEXT(B39)),"&gt;= 0","")</f>
      </c>
      <c r="E39" s="52" t="s">
        <v>130</v>
      </c>
      <c r="F39" s="21" t="s">
        <v>15</v>
      </c>
      <c r="G39" s="10" t="s">
        <v>16</v>
      </c>
      <c r="H39" s="10" t="s">
        <v>17</v>
      </c>
      <c r="I39" s="9" t="s">
        <v>2</v>
      </c>
    </row>
    <row r="40" spans="1:10" ht="26.25" thickTop="1">
      <c r="A40" s="25" t="s">
        <v>95</v>
      </c>
      <c r="B40" s="28">
        <v>0</v>
      </c>
      <c r="C40" s="8" t="s">
        <v>4</v>
      </c>
      <c r="D40" s="18">
        <f>IF(OR(B40&lt;0,ISTEXT(B40)),"&gt;= 0","")</f>
      </c>
      <c r="E40" s="13" t="s">
        <v>123</v>
      </c>
      <c r="F40" s="11">
        <f aca="true" t="shared" si="1" ref="F40:H42">F27+$F$36</f>
        <v>19</v>
      </c>
      <c r="G40" s="11">
        <f t="shared" si="1"/>
        <v>3</v>
      </c>
      <c r="H40" s="11">
        <f t="shared" si="1"/>
        <v>3</v>
      </c>
      <c r="I40" s="8" t="s">
        <v>10</v>
      </c>
      <c r="J40" s="39" t="s">
        <v>133</v>
      </c>
    </row>
    <row r="41" spans="1:9" ht="13.5" thickBot="1">
      <c r="A41" s="29" t="s">
        <v>96</v>
      </c>
      <c r="B41" s="32">
        <f>SUM(B37:B40)</f>
        <v>80</v>
      </c>
      <c r="C41" s="30" t="s">
        <v>4</v>
      </c>
      <c r="D41" s="18">
        <f>IF(OR(B42&lt;0,ISTEXT(B42)),"&gt;= 0","")</f>
      </c>
      <c r="E41" s="13" t="s">
        <v>124</v>
      </c>
      <c r="F41" s="11">
        <f t="shared" si="1"/>
        <v>15</v>
      </c>
      <c r="G41" s="38">
        <f>G28+$F$36</f>
        <v>3</v>
      </c>
      <c r="H41" s="11">
        <f t="shared" si="1"/>
        <v>3</v>
      </c>
      <c r="I41" s="8" t="s">
        <v>10</v>
      </c>
    </row>
    <row r="42" spans="1:9" ht="14.25" thickBot="1" thickTop="1">
      <c r="A42" s="25" t="s">
        <v>97</v>
      </c>
      <c r="B42" s="34">
        <v>0</v>
      </c>
      <c r="C42" s="8" t="s">
        <v>4</v>
      </c>
      <c r="D42" s="18">
        <f>IF(OR(B43&lt;0,ISTEXT(B43)),"&gt;= 0","")</f>
      </c>
      <c r="E42" s="13" t="s">
        <v>125</v>
      </c>
      <c r="F42" s="11">
        <f t="shared" si="1"/>
        <v>13</v>
      </c>
      <c r="G42" s="11">
        <f t="shared" si="1"/>
        <v>3</v>
      </c>
      <c r="H42" s="11">
        <f t="shared" si="1"/>
        <v>3</v>
      </c>
      <c r="I42" s="8" t="s">
        <v>10</v>
      </c>
    </row>
    <row r="43" spans="1:9" ht="14.25" thickBot="1" thickTop="1">
      <c r="A43" s="25" t="s">
        <v>98</v>
      </c>
      <c r="B43" s="34">
        <v>0</v>
      </c>
      <c r="C43" s="8" t="s">
        <v>4</v>
      </c>
      <c r="E43" s="52" t="s">
        <v>131</v>
      </c>
      <c r="F43" s="9"/>
      <c r="G43" s="9"/>
      <c r="H43" s="9"/>
      <c r="I43" s="9"/>
    </row>
    <row r="44" spans="1:9" ht="13.5" thickTop="1">
      <c r="A44" s="27" t="s">
        <v>99</v>
      </c>
      <c r="B44" s="33">
        <f>SUM(B42:B43)</f>
        <v>0</v>
      </c>
      <c r="C44" s="26" t="s">
        <v>4</v>
      </c>
      <c r="E44" s="13" t="s">
        <v>123</v>
      </c>
      <c r="F44" s="11">
        <f aca="true" t="shared" si="2" ref="F44:H46">F31+$F$36</f>
        <v>10</v>
      </c>
      <c r="G44" s="11">
        <f t="shared" si="2"/>
        <v>3</v>
      </c>
      <c r="H44" s="11">
        <f t="shared" si="2"/>
        <v>3</v>
      </c>
      <c r="I44" s="8" t="s">
        <v>10</v>
      </c>
    </row>
    <row r="45" spans="1:9" ht="12.75">
      <c r="A45" s="25" t="s">
        <v>100</v>
      </c>
      <c r="B45" s="31">
        <f>B44+B41</f>
        <v>80</v>
      </c>
      <c r="C45" s="8" t="s">
        <v>4</v>
      </c>
      <c r="D45" s="18">
        <f>IF(OR(B47&lt;0,ISTEXT(B47)),"&gt;= 0","")</f>
      </c>
      <c r="E45" s="13" t="s">
        <v>124</v>
      </c>
      <c r="F45" s="11">
        <f t="shared" si="2"/>
        <v>8</v>
      </c>
      <c r="G45" s="11">
        <f t="shared" si="2"/>
        <v>3</v>
      </c>
      <c r="H45" s="11">
        <f t="shared" si="2"/>
        <v>3</v>
      </c>
      <c r="I45" s="8" t="s">
        <v>10</v>
      </c>
    </row>
    <row r="46" spans="1:9" ht="13.5" thickBot="1">
      <c r="A46" s="13" t="s">
        <v>101</v>
      </c>
      <c r="B46" s="8"/>
      <c r="C46" s="8"/>
      <c r="D46" s="18">
        <f>IF(OR(B48&lt;0,ISTEXT(B48)),"&gt;= 0","")</f>
      </c>
      <c r="E46" s="13" t="s">
        <v>125</v>
      </c>
      <c r="F46" s="11">
        <f t="shared" si="2"/>
        <v>7</v>
      </c>
      <c r="G46" s="11">
        <f t="shared" si="2"/>
        <v>3</v>
      </c>
      <c r="H46" s="11">
        <f t="shared" si="2"/>
        <v>3</v>
      </c>
      <c r="I46" s="8" t="s">
        <v>10</v>
      </c>
    </row>
    <row r="47" spans="1:3" ht="14.25" thickBot="1" thickTop="1">
      <c r="A47" s="25" t="s">
        <v>102</v>
      </c>
      <c r="B47" s="20">
        <v>19.82</v>
      </c>
      <c r="C47" s="13" t="s">
        <v>104</v>
      </c>
    </row>
    <row r="48" spans="1:5" ht="14.25" thickBot="1" thickTop="1">
      <c r="A48" s="25" t="s">
        <v>103</v>
      </c>
      <c r="B48" s="20">
        <v>19.82</v>
      </c>
      <c r="C48" s="8" t="s">
        <v>3</v>
      </c>
      <c r="E48" s="35" t="s">
        <v>32</v>
      </c>
    </row>
    <row r="49" spans="2:5" ht="15.75" thickTop="1">
      <c r="B49" s="2"/>
      <c r="E49" s="39" t="s">
        <v>132</v>
      </c>
    </row>
  </sheetData>
  <sheetProtection password="DDAD" sheet="1" objects="1" scenarios="1" selectLockedCells="1"/>
  <hyperlinks>
    <hyperlink ref="E48" location="'Cost w. establishment 测量费用'!A1" display="Go To Next"/>
  </hyperlinks>
  <printOptions gridLines="1"/>
  <pageMargins left="0.75" right="0.75" top="1" bottom="0.38" header="0.5" footer="0.32"/>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E53"/>
  <sheetViews>
    <sheetView workbookViewId="0" topLeftCell="A1">
      <selection activeCell="A6" sqref="A6"/>
    </sheetView>
  </sheetViews>
  <sheetFormatPr defaultColWidth="9.140625" defaultRowHeight="12.75"/>
  <cols>
    <col min="1" max="1" width="27.140625" style="0" customWidth="1"/>
    <col min="2" max="3" width="10.140625" style="0" bestFit="1" customWidth="1"/>
    <col min="4" max="4" width="12.8515625" style="0" customWidth="1"/>
  </cols>
  <sheetData>
    <row r="1" spans="1:4" ht="20.25">
      <c r="A1" s="12" t="s">
        <v>28</v>
      </c>
      <c r="B1" s="12"/>
      <c r="C1" s="12"/>
      <c r="D1" s="12"/>
    </row>
    <row r="2" spans="1:4" ht="12.75">
      <c r="A2" s="221" t="s">
        <v>30</v>
      </c>
      <c r="B2" s="221"/>
      <c r="C2" s="221"/>
      <c r="D2" s="221"/>
    </row>
    <row r="4" spans="1:4" ht="12.75">
      <c r="A4" s="16" t="s">
        <v>136</v>
      </c>
      <c r="B4" s="222" t="s">
        <v>13</v>
      </c>
      <c r="C4" s="223"/>
      <c r="D4" s="224"/>
    </row>
    <row r="5" spans="1:4" ht="12.75">
      <c r="A5" s="50" t="s">
        <v>137</v>
      </c>
      <c r="B5" s="9" t="s">
        <v>15</v>
      </c>
      <c r="C5" s="10" t="s">
        <v>16</v>
      </c>
      <c r="D5" s="10" t="s">
        <v>17</v>
      </c>
    </row>
    <row r="6" spans="1:4" ht="12.75">
      <c r="A6" s="25" t="s">
        <v>138</v>
      </c>
      <c r="B6" s="6">
        <f>('Unit Costs 费用'!F27*'Unit Costs 费用'!$F$21*'Unit Costs 费用'!$B$15)+('Unit Costs 费用'!$F$36*'Unit Costs 费用'!$F$21*'Unit Costs 费用'!$B$15)</f>
        <v>741</v>
      </c>
      <c r="C6" s="6">
        <f>('Unit Costs 费用'!G27*'Unit Costs 费用'!$F$21*'Unit Costs 费用'!$B$15)+('Unit Costs 费用'!$F$36*'Unit Costs 费用'!$F$21*'Unit Costs 费用'!$B$15)</f>
        <v>117</v>
      </c>
      <c r="D6" s="6">
        <f>('Unit Costs 费用'!H27*'Unit Costs 费用'!$F$21*'Unit Costs 费用'!$B$15)+('Unit Costs 费用'!$F$36*'Unit Costs 费用'!$F$21*'Unit Costs 费用'!$B$15)</f>
        <v>117</v>
      </c>
    </row>
    <row r="7" spans="1:4" ht="12.75">
      <c r="A7" s="25" t="s">
        <v>139</v>
      </c>
      <c r="B7" s="6">
        <f>('Unit Costs 费用'!F28*'Unit Costs 费用'!$F$22*'Unit Costs 费用'!$B$15)+('Unit Costs 费用'!$F$36*'Unit Costs 费用'!$F$21*'Unit Costs 费用'!$B$15)</f>
        <v>754</v>
      </c>
      <c r="C7" s="6">
        <f>('Unit Costs 费用'!G28*'Unit Costs 费用'!$F$22*'Unit Costs 费用'!$B$15)+('Unit Costs 费用'!$F$36*'Unit Costs 费用'!$F$21*'Unit Costs 费用'!$B$15)</f>
        <v>130</v>
      </c>
      <c r="D7" s="6">
        <f>('Unit Costs 费用'!H28*'Unit Costs 费用'!$F$22*'Unit Costs 费用'!$B$15)+('Unit Costs 费用'!$F$36*'Unit Costs 费用'!$F$21*'Unit Costs 费用'!$B$15)</f>
        <v>130</v>
      </c>
    </row>
    <row r="8" spans="1:4" ht="12.75">
      <c r="A8" s="25" t="s">
        <v>140</v>
      </c>
      <c r="B8" s="6">
        <f>('Unit Costs 费用'!F29*'Unit Costs 费用'!$F$23*'Unit Costs 费用'!$B$15)+('Unit Costs 费用'!$F$36*'Unit Costs 费用'!$F$21*'Unit Costs 费用'!$B$15)</f>
        <v>793</v>
      </c>
      <c r="C8" s="6">
        <f>('Unit Costs 费用'!G29*'Unit Costs 费用'!$F$23*'Unit Costs 费用'!$B$15)+('Unit Costs 费用'!$F$36*'Unit Costs 费用'!$F$21*'Unit Costs 费用'!$B$15)</f>
        <v>143</v>
      </c>
      <c r="D8" s="6">
        <f>('Unit Costs 费用'!H29*'Unit Costs 费用'!$F$23*'Unit Costs 费用'!$B$15)+('Unit Costs 费用'!$F$36*'Unit Costs 费用'!$F$21*'Unit Costs 费用'!$B$15)</f>
        <v>143</v>
      </c>
    </row>
    <row r="9" ht="12.75">
      <c r="B9" s="2"/>
    </row>
    <row r="10" spans="1:4" ht="12.75">
      <c r="A10" s="228" t="s">
        <v>143</v>
      </c>
      <c r="B10" s="229"/>
      <c r="C10" s="229"/>
      <c r="D10" s="230"/>
    </row>
    <row r="11" spans="1:4" ht="12.75">
      <c r="A11" s="13" t="s">
        <v>142</v>
      </c>
      <c r="B11" s="225"/>
      <c r="C11" s="226"/>
      <c r="D11" s="227"/>
    </row>
    <row r="12" spans="1:4" ht="12.75">
      <c r="A12" s="25" t="s">
        <v>138</v>
      </c>
      <c r="B12" s="6">
        <f>'Unit Costs 费用'!F40*'Unit Costs 费用'!$B$23</f>
        <v>3420</v>
      </c>
      <c r="C12" s="6">
        <f>'Unit Costs 费用'!G40*'Unit Costs 费用'!$B$23</f>
        <v>540</v>
      </c>
      <c r="D12" s="6">
        <f>'Unit Costs 费用'!H40*'Unit Costs 费用'!$B$23</f>
        <v>540</v>
      </c>
    </row>
    <row r="13" spans="1:4" ht="12.75">
      <c r="A13" s="25" t="s">
        <v>139</v>
      </c>
      <c r="B13" s="6">
        <f>'Unit Costs 费用'!F41*'Unit Costs 费用'!$B$23</f>
        <v>2700</v>
      </c>
      <c r="C13" s="6">
        <f>'Unit Costs 费用'!G41*'Unit Costs 费用'!$B$23</f>
        <v>540</v>
      </c>
      <c r="D13" s="6">
        <f>'Unit Costs 费用'!H41*'Unit Costs 费用'!$B$23</f>
        <v>540</v>
      </c>
    </row>
    <row r="14" spans="1:4" ht="12.75">
      <c r="A14" s="25" t="s">
        <v>140</v>
      </c>
      <c r="B14" s="6">
        <f>'Unit Costs 费用'!F42*'Unit Costs 费用'!$B$23</f>
        <v>2340</v>
      </c>
      <c r="C14" s="6">
        <f>'Unit Costs 费用'!G42*'Unit Costs 费用'!$B$23</f>
        <v>540</v>
      </c>
      <c r="D14" s="6">
        <f>'Unit Costs 费用'!H42*'Unit Costs 费用'!$B$23</f>
        <v>540</v>
      </c>
    </row>
    <row r="15" spans="1:4" ht="12.75">
      <c r="A15" s="13" t="s">
        <v>144</v>
      </c>
      <c r="B15" s="222"/>
      <c r="C15" s="223"/>
      <c r="D15" s="224"/>
    </row>
    <row r="16" spans="1:4" ht="12.75">
      <c r="A16" s="25" t="s">
        <v>138</v>
      </c>
      <c r="B16" s="6">
        <f>IF((('Unit Costs 费用'!F40-1)*'Unit Costs 费用'!$B$19)&lt;0,0,('Unit Costs 费用'!F40-1)*'Unit Costs 费用'!$B$19)</f>
        <v>2160</v>
      </c>
      <c r="C16" s="6">
        <f>IF((('Unit Costs 费用'!G40-1)*'Unit Costs 费用'!$B$19)&lt;0,0,('Unit Costs 费用'!G40-1)*'Unit Costs 费用'!$B$19)</f>
        <v>240</v>
      </c>
      <c r="D16" s="6">
        <f>IF((('Unit Costs 费用'!H40-1)*'Unit Costs 费用'!$B$19)&lt;0,0,('Unit Costs 费用'!H40-1)*'Unit Costs 费用'!$B$19)</f>
        <v>240</v>
      </c>
    </row>
    <row r="17" spans="1:4" ht="12.75">
      <c r="A17" s="25" t="s">
        <v>145</v>
      </c>
      <c r="B17" s="6">
        <f>IF((('Unit Costs 费用'!F41-1)*'Unit Costs 费用'!$B$19)&lt;0,0,(('Unit Costs 费用'!F41-1)*'Unit Costs 费用'!$B$19))</f>
        <v>1680</v>
      </c>
      <c r="C17" s="6">
        <f>IF((('Unit Costs 费用'!G41-1)*'Unit Costs 费用'!$B$19)&lt;0,0,(('Unit Costs 费用'!G41-1)*'Unit Costs 费用'!$B$19))</f>
        <v>240</v>
      </c>
      <c r="D17" s="6">
        <f>IF((('Unit Costs 费用'!H41-1)*'Unit Costs 费用'!$B$19)&lt;0,0,(('Unit Costs 费用'!H41-1)*'Unit Costs 费用'!$B$19))</f>
        <v>240</v>
      </c>
    </row>
    <row r="18" spans="1:4" ht="12.75">
      <c r="A18" s="25" t="s">
        <v>146</v>
      </c>
      <c r="B18" s="6">
        <f>IF((('Unit Costs 费用'!F42-1)*'Unit Costs 费用'!$B$19)&lt;0,0,(('Unit Costs 费用'!F42-1)*'Unit Costs 费用'!$B$19))</f>
        <v>1440</v>
      </c>
      <c r="C18" s="6">
        <f>IF((('Unit Costs 费用'!G42-1)*'Unit Costs 费用'!$B$19)&lt;0,0,(('Unit Costs 费用'!G42-1)*'Unit Costs 费用'!$B$19))</f>
        <v>240</v>
      </c>
      <c r="D18" s="6">
        <f>IF((('Unit Costs 费用'!H42-1)*'Unit Costs 费用'!$B$19)&lt;0,0,(('Unit Costs 费用'!H42-1)*'Unit Costs 费用'!$B$19))</f>
        <v>240</v>
      </c>
    </row>
    <row r="19" spans="1:4" ht="12.75">
      <c r="A19" s="5"/>
      <c r="B19" s="3"/>
      <c r="C19" s="3"/>
      <c r="D19" s="3"/>
    </row>
    <row r="20" spans="1:4" ht="25.5">
      <c r="A20" s="167" t="s">
        <v>220</v>
      </c>
      <c r="B20" s="7" t="s">
        <v>13</v>
      </c>
      <c r="C20" s="7"/>
      <c r="D20" s="7" t="s">
        <v>141</v>
      </c>
    </row>
    <row r="21" spans="1:4" ht="25.5">
      <c r="A21" s="50" t="s">
        <v>147</v>
      </c>
      <c r="B21" s="9" t="s">
        <v>15</v>
      </c>
      <c r="C21" s="10" t="s">
        <v>16</v>
      </c>
      <c r="D21" s="10" t="s">
        <v>17</v>
      </c>
    </row>
    <row r="22" spans="1:4" ht="12.75">
      <c r="A22" s="25" t="s">
        <v>138</v>
      </c>
      <c r="B22" s="6">
        <f>'Unit Costs 费用'!F27*'Unit Costs 费用'!$B$31</f>
        <v>15691</v>
      </c>
      <c r="C22" s="6">
        <f>'Unit Costs 费用'!G27*'Unit Costs 费用'!$B$31</f>
        <v>923</v>
      </c>
      <c r="D22" s="6">
        <f>'Unit Costs 费用'!H27*'Unit Costs 费用'!$B$31</f>
        <v>923</v>
      </c>
    </row>
    <row r="23" spans="1:4" ht="12.75">
      <c r="A23" s="25" t="s">
        <v>139</v>
      </c>
      <c r="B23" s="6">
        <f>'Unit Costs 费用'!F28*'Unit Costs 费用'!$B$31</f>
        <v>11999</v>
      </c>
      <c r="C23" s="6">
        <f>IF(('Unit Costs 费用'!G28*'Unit Costs 费用'!$B$31)&lt;0,0,('Unit Costs 费用'!G28*'Unit Costs 费用'!$B$31))</f>
        <v>923</v>
      </c>
      <c r="D23" s="6">
        <f>'Unit Costs 费用'!H28*'Unit Costs 费用'!$B$31</f>
        <v>923</v>
      </c>
    </row>
    <row r="24" spans="1:4" ht="12.75">
      <c r="A24" s="25" t="s">
        <v>140</v>
      </c>
      <c r="B24" s="6">
        <f>'Unit Costs 费用'!F29*'Unit Costs 费用'!$B$31</f>
        <v>10153</v>
      </c>
      <c r="C24" s="6">
        <f>'Unit Costs 费用'!G29*'Unit Costs 费用'!$B$31</f>
        <v>923</v>
      </c>
      <c r="D24" s="6">
        <f>'Unit Costs 费用'!H29*'Unit Costs 费用'!$B$31</f>
        <v>923</v>
      </c>
    </row>
    <row r="25" ht="12.75">
      <c r="B25" s="2"/>
    </row>
    <row r="26" spans="1:2" ht="12.75">
      <c r="A26" s="50" t="s">
        <v>148</v>
      </c>
      <c r="B26" s="6">
        <f>MAX('Aboveground C - Plots 地上生物量'!D46,' Soil C - Plots  土壤生物量'!D46)*'Unit Costs 费用'!B35</f>
        <v>540</v>
      </c>
    </row>
    <row r="27" ht="12.75">
      <c r="B27" s="2"/>
    </row>
    <row r="28" spans="1:2" ht="12.75">
      <c r="A28" s="50" t="s">
        <v>150</v>
      </c>
      <c r="B28" s="6">
        <f>('Aboveground C - Plots 地上生物量'!D46*'Unit Costs 费用'!B44)+(' Soil C - Plots  土壤生物量'!D46*'Unit Costs 费用'!B41)</f>
        <v>1520</v>
      </c>
    </row>
    <row r="29" ht="12.75">
      <c r="B29" s="2"/>
    </row>
    <row r="30" spans="1:4" ht="25.5">
      <c r="A30" s="50" t="s">
        <v>151</v>
      </c>
      <c r="B30" s="225"/>
      <c r="C30" s="226"/>
      <c r="D30" s="227"/>
    </row>
    <row r="31" spans="1:4" ht="12.75">
      <c r="A31" s="53" t="s">
        <v>152</v>
      </c>
      <c r="B31" s="6">
        <f>'Unit Costs 费用'!$B$47*10*'Unit Costs 费用'!F27</f>
        <v>3369.3999999999996</v>
      </c>
      <c r="C31" s="6">
        <f>'Unit Costs 费用'!$B$47*10*'Unit Costs 费用'!G27</f>
        <v>198.2</v>
      </c>
      <c r="D31" s="6">
        <f>'Unit Costs 费用'!$B$47*10*'Unit Costs 费用'!H27</f>
        <v>198.2</v>
      </c>
    </row>
    <row r="32" spans="1:4" ht="12.75">
      <c r="A32" s="53" t="s">
        <v>153</v>
      </c>
      <c r="B32" s="6">
        <f>'Unit Costs 费用'!$B$47*10*'Unit Costs 费用'!F28</f>
        <v>2576.6</v>
      </c>
      <c r="C32" s="6">
        <f>'Unit Costs 费用'!$B$47*10*'Unit Costs 费用'!G28</f>
        <v>198.2</v>
      </c>
      <c r="D32" s="6">
        <f>'Unit Costs 费用'!$B$47*10*'Unit Costs 费用'!H28</f>
        <v>198.2</v>
      </c>
    </row>
    <row r="33" spans="1:4" ht="12.75">
      <c r="A33" s="53" t="s">
        <v>154</v>
      </c>
      <c r="B33" s="6">
        <f>'Unit Costs 费用'!$B$47*10*'Unit Costs 费用'!F29</f>
        <v>2180.2</v>
      </c>
      <c r="C33" s="6">
        <f>'Unit Costs 费用'!$B$47*10*'Unit Costs 费用'!G29</f>
        <v>198.2</v>
      </c>
      <c r="D33" s="6">
        <f>'Unit Costs 费用'!$B$47*10*'Unit Costs 费用'!H29</f>
        <v>198.2</v>
      </c>
    </row>
    <row r="34" ht="12.75">
      <c r="B34" s="2"/>
    </row>
    <row r="35" spans="1:2" ht="25.5">
      <c r="A35" s="50" t="s">
        <v>155</v>
      </c>
      <c r="B35" s="6">
        <f>'Unit Costs 费用'!B9</f>
        <v>2500</v>
      </c>
    </row>
    <row r="37" spans="1:5" ht="25.5">
      <c r="A37" s="16" t="s">
        <v>221</v>
      </c>
      <c r="B37" s="7"/>
      <c r="C37" s="7"/>
      <c r="D37" s="7"/>
      <c r="E37" s="39"/>
    </row>
    <row r="38" spans="1:4" ht="12.75">
      <c r="A38" s="25" t="s">
        <v>138</v>
      </c>
      <c r="B38" s="6">
        <f>B6+B12+B16+B22+B26+B28+B31+B35</f>
        <v>29941.4</v>
      </c>
      <c r="C38" s="6">
        <f>C6+C12+C16+C22+B26+B28+C31+B35</f>
        <v>6578.2</v>
      </c>
      <c r="D38" s="6">
        <f>D6+D12+D16+D22+B26+B28+D31+B35</f>
        <v>6578.2</v>
      </c>
    </row>
    <row r="39" spans="1:4" ht="12.75">
      <c r="A39" s="14" t="s">
        <v>156</v>
      </c>
      <c r="B39" s="15" t="e">
        <f>IF($B$26=0,0,(B38/'Aboveground C - Plots 地上生物量'!$B$26))</f>
        <v>#DIV/0!</v>
      </c>
      <c r="C39" s="15" t="e">
        <f>IF($B$26=0,0,(C38/'Aboveground C - Plots 地上生物量'!$B$26))</f>
        <v>#DIV/0!</v>
      </c>
      <c r="D39" s="15" t="e">
        <f>IF($B$26=0,0,(D38/'Aboveground C - Plots 地上生物量'!$B$26))</f>
        <v>#DIV/0!</v>
      </c>
    </row>
    <row r="40" spans="1:4" ht="12.75">
      <c r="A40" s="25" t="s">
        <v>139</v>
      </c>
      <c r="B40" s="6">
        <f>B7+B13+B17+B23+B26+B28+B32+B35</f>
        <v>24269.6</v>
      </c>
      <c r="C40" s="6">
        <f>C7+C13+C17+C23+B26+B28+C32+B35</f>
        <v>6591.2</v>
      </c>
      <c r="D40" s="6">
        <f>D7+D13+D17+D23+B26+B28+D32+B35</f>
        <v>6591.2</v>
      </c>
    </row>
    <row r="41" spans="1:4" ht="12.75">
      <c r="A41" s="14" t="s">
        <v>156</v>
      </c>
      <c r="B41" s="15" t="e">
        <f>IF($B$26=0,0,(B40/'Aboveground C - Plots 地上生物量'!$B$26))</f>
        <v>#DIV/0!</v>
      </c>
      <c r="C41" s="15" t="e">
        <f>IF($B$26=0,0,(C40/'Aboveground C - Plots 地上生物量'!$B$26))</f>
        <v>#DIV/0!</v>
      </c>
      <c r="D41" s="15" t="e">
        <f>IF($B$26=0,0,(D40/'Aboveground C - Plots 地上生物量'!$B$26))</f>
        <v>#DIV/0!</v>
      </c>
    </row>
    <row r="42" spans="1:4" ht="12.75">
      <c r="A42" s="25" t="s">
        <v>140</v>
      </c>
      <c r="B42" s="6">
        <f>B8+B14+B18+B24+B26+B28+B33+B35</f>
        <v>21466.2</v>
      </c>
      <c r="C42" s="6">
        <f>C8+C14+C18+C24+B26+B28+C33+B35</f>
        <v>6604.2</v>
      </c>
      <c r="D42" s="6">
        <f>D8+D14+D18+D24+B26+B28+D33+B35</f>
        <v>6604.2</v>
      </c>
    </row>
    <row r="43" spans="1:4" ht="12.75">
      <c r="A43" s="14" t="s">
        <v>156</v>
      </c>
      <c r="B43" s="15" t="e">
        <f>IF($B$26=0,0,(B42/'Aboveground C - Plots 地上生物量'!$B$26))</f>
        <v>#DIV/0!</v>
      </c>
      <c r="C43" s="15" t="e">
        <f>IF($B$26=0,0,(C42/'Aboveground C - Plots 地上生物量'!$B$26))</f>
        <v>#DIV/0!</v>
      </c>
      <c r="D43" s="15" t="e">
        <f>IF($B$26=0,0,(D42/'Aboveground C - Plots 地上生物量'!$B$26))</f>
        <v>#DIV/0!</v>
      </c>
    </row>
    <row r="45" spans="1:5" ht="25.5">
      <c r="A45" s="16" t="s">
        <v>222</v>
      </c>
      <c r="B45" s="7"/>
      <c r="C45" s="7"/>
      <c r="D45" s="7"/>
      <c r="E45" s="39"/>
    </row>
    <row r="46" spans="1:4" ht="12.75">
      <c r="A46" s="25" t="s">
        <v>157</v>
      </c>
      <c r="B46" s="6">
        <f>B38*(1+'Unit Costs 费用'!$B$4/100)</f>
        <v>32935.54</v>
      </c>
      <c r="C46" s="6">
        <f>C38*(1+'Unit Costs 费用'!$B$4/100)</f>
        <v>7236.02</v>
      </c>
      <c r="D46" s="6">
        <f>D38*(1+'Unit Costs 费用'!$B$4/100)</f>
        <v>7236.02</v>
      </c>
    </row>
    <row r="47" spans="1:4" ht="12.75">
      <c r="A47" s="14" t="s">
        <v>156</v>
      </c>
      <c r="B47" s="15" t="e">
        <f>IF($B$26=0,0,(B46/'Aboveground C - Plots 地上生物量'!$B$26))</f>
        <v>#DIV/0!</v>
      </c>
      <c r="C47" s="15" t="e">
        <f>IF($B$26=0,0,(C46/'Aboveground C - Plots 地上生物量'!$B$26))</f>
        <v>#DIV/0!</v>
      </c>
      <c r="D47" s="15" t="e">
        <f>IF($B$26=0,0,(D46/'Aboveground C - Plots 地上生物量'!$B$26))</f>
        <v>#DIV/0!</v>
      </c>
    </row>
    <row r="48" spans="1:4" ht="12.75">
      <c r="A48" s="25" t="s">
        <v>145</v>
      </c>
      <c r="B48" s="6">
        <f>B40*(1+'Unit Costs 费用'!$B$4/100)</f>
        <v>26696.56</v>
      </c>
      <c r="C48" s="6">
        <f>C40*(1+'Unit Costs 费用'!$B$4/100)</f>
        <v>7250.320000000001</v>
      </c>
      <c r="D48" s="6">
        <f>D40*(1+'Unit Costs 费用'!$B$4/100)</f>
        <v>7250.320000000001</v>
      </c>
    </row>
    <row r="49" spans="1:4" ht="15">
      <c r="A49" s="14" t="s">
        <v>156</v>
      </c>
      <c r="B49" s="15" t="e">
        <f>IF($B$26=0,0,(B48/'Aboveground C - Plots 地上生物量'!$B$26))</f>
        <v>#DIV/0!</v>
      </c>
      <c r="C49" s="15" t="e">
        <f>IF($B$26=0,0,(C48/'Aboveground C - Plots 地上生物量'!$B$26))</f>
        <v>#DIV/0!</v>
      </c>
      <c r="D49" s="15" t="e">
        <f>IF($B$26=0,0,(D48/'Aboveground C - Plots 地上生物量'!$B$26))</f>
        <v>#DIV/0!</v>
      </c>
    </row>
    <row r="50" spans="1:4" ht="15">
      <c r="A50" s="25" t="s">
        <v>146</v>
      </c>
      <c r="B50" s="6">
        <f>B42*(1+'Unit Costs 费用'!$B$4/100)</f>
        <v>23612.820000000003</v>
      </c>
      <c r="C50" s="6">
        <f>C42*(1+'Unit Costs 费用'!$B$4/100)</f>
        <v>7264.620000000001</v>
      </c>
      <c r="D50" s="6">
        <f>D42*(1+'Unit Costs 费用'!$B$4/100)</f>
        <v>7264.620000000001</v>
      </c>
    </row>
    <row r="51" spans="1:4" ht="15">
      <c r="A51" s="14" t="s">
        <v>156</v>
      </c>
      <c r="B51" s="15" t="e">
        <f>IF($B$26=0,0,(B50/'Aboveground C - Plots 地上生物量'!$B$26))</f>
        <v>#DIV/0!</v>
      </c>
      <c r="C51" s="15" t="e">
        <f>IF($B$26=0,0,(C50/'Aboveground C - Plots 地上生物量'!$B$26))</f>
        <v>#DIV/0!</v>
      </c>
      <c r="D51" s="15" t="e">
        <f>IF($B$26=0,0,(D50/'Aboveground C - Plots 地上生物量'!$B$26))</f>
        <v>#DIV/0!</v>
      </c>
    </row>
    <row r="53" ht="12.75">
      <c r="D53" s="37" t="s">
        <v>32</v>
      </c>
    </row>
  </sheetData>
  <sheetProtection password="DDAD" sheet="1" objects="1" scenarios="1" selectLockedCells="1"/>
  <mergeCells count="6">
    <mergeCell ref="A2:D2"/>
    <mergeCell ref="B4:D4"/>
    <mergeCell ref="B30:D30"/>
    <mergeCell ref="B11:D11"/>
    <mergeCell ref="B15:D15"/>
    <mergeCell ref="A10:D10"/>
  </mergeCells>
  <hyperlinks>
    <hyperlink ref="D53" location="'Cost wout. establishment测量费用'!A1" display="Go To Next"/>
  </hyperlinks>
  <printOptions gridLines="1"/>
  <pageMargins left="0.75" right="0.75" top="0.35" bottom="0.5" header="0.2" footer="0.33"/>
  <pageSetup horizontalDpi="600" verticalDpi="600" orientation="portrait" r:id="rId3"/>
  <ignoredErrors>
    <ignoredError sqref="B40:D50" formula="1"/>
  </ignoredErrors>
  <legacyDrawing r:id="rId2"/>
</worksheet>
</file>

<file path=xl/worksheets/sheet6.xml><?xml version="1.0" encoding="utf-8"?>
<worksheet xmlns="http://schemas.openxmlformats.org/spreadsheetml/2006/main" xmlns:r="http://schemas.openxmlformats.org/officeDocument/2006/relationships">
  <dimension ref="A1:E54"/>
  <sheetViews>
    <sheetView workbookViewId="0" topLeftCell="A1">
      <selection activeCell="A12" sqref="A12"/>
    </sheetView>
  </sheetViews>
  <sheetFormatPr defaultColWidth="9.140625" defaultRowHeight="12.75"/>
  <cols>
    <col min="1" max="1" width="40.28125" style="0" customWidth="1"/>
    <col min="2" max="2" width="10.140625" style="0" customWidth="1"/>
    <col min="3" max="3" width="10.8515625" style="0" customWidth="1"/>
    <col min="4" max="4" width="10.57421875" style="0" customWidth="1"/>
  </cols>
  <sheetData>
    <row r="1" spans="1:4" ht="20.25">
      <c r="A1" s="12" t="s">
        <v>29</v>
      </c>
      <c r="B1" s="12"/>
      <c r="C1" s="12"/>
      <c r="D1" s="12" t="s">
        <v>134</v>
      </c>
    </row>
    <row r="2" spans="1:4" ht="12.75">
      <c r="A2" s="231" t="s">
        <v>135</v>
      </c>
      <c r="B2" s="221"/>
      <c r="C2" s="221"/>
      <c r="D2" s="221"/>
    </row>
    <row r="4" spans="1:4" ht="12.75">
      <c r="A4" s="16" t="s">
        <v>136</v>
      </c>
      <c r="B4" s="7" t="s">
        <v>13</v>
      </c>
      <c r="C4" s="7"/>
      <c r="D4" s="7" t="s">
        <v>141</v>
      </c>
    </row>
    <row r="5" spans="1:4" ht="12.75">
      <c r="A5" s="50" t="s">
        <v>137</v>
      </c>
      <c r="B5" s="9" t="s">
        <v>15</v>
      </c>
      <c r="C5" s="10" t="s">
        <v>16</v>
      </c>
      <c r="D5" s="10" t="s">
        <v>17</v>
      </c>
    </row>
    <row r="6" spans="1:4" ht="12.75">
      <c r="A6" s="25" t="s">
        <v>138</v>
      </c>
      <c r="B6" s="6">
        <f>('Unit Costs 费用'!F31*'Unit Costs 费用'!$F$21*'Unit Costs 费用'!$B$15)+('Unit Costs 费用'!$F$36*'Unit Costs 费用'!$F$21*'Unit Costs 费用'!$B$15)</f>
        <v>390</v>
      </c>
      <c r="C6" s="6">
        <f>('Unit Costs 费用'!G31*'Unit Costs 费用'!$F$21*'Unit Costs 费用'!$B$15)+('Unit Costs 费用'!$F$36*'Unit Costs 费用'!$F$21*'Unit Costs 费用'!$B$15)</f>
        <v>117</v>
      </c>
      <c r="D6" s="6">
        <f>('Unit Costs 费用'!H31*'Unit Costs 费用'!$F$21*'Unit Costs 费用'!$B$15)+('Unit Costs 费用'!$F$36*'Unit Costs 费用'!$F$21*'Unit Costs 费用'!$B$15)</f>
        <v>117</v>
      </c>
    </row>
    <row r="7" spans="1:4" ht="12.75">
      <c r="A7" s="25" t="s">
        <v>139</v>
      </c>
      <c r="B7" s="6">
        <f>('Unit Costs 费用'!F32*'Unit Costs 费用'!$F$22*'Unit Costs 费用'!$B$15)+('Unit Costs 费用'!$F$36*'Unit Costs 费用'!$F$21*'Unit Costs 费用'!$B$15)</f>
        <v>390</v>
      </c>
      <c r="C7" s="6">
        <f>('Unit Costs 费用'!G32*'Unit Costs 费用'!$F$22*'Unit Costs 费用'!$B$15)+('Unit Costs 费用'!$F$36*'Unit Costs 费用'!$F$21*'Unit Costs 费用'!$B$15)</f>
        <v>130</v>
      </c>
      <c r="D7" s="6">
        <f>('Unit Costs 费用'!H32*'Unit Costs 费用'!$F$22*'Unit Costs 费用'!$B$15)+('Unit Costs 费用'!$F$36*'Unit Costs 费用'!$F$21*'Unit Costs 费用'!$B$15)</f>
        <v>130</v>
      </c>
    </row>
    <row r="8" spans="1:4" ht="12.75">
      <c r="A8" s="25" t="s">
        <v>140</v>
      </c>
      <c r="B8" s="6">
        <f>('Unit Costs 费用'!F33*'Unit Costs 费用'!$F$23*'Unit Costs 费用'!$B$15)+('Unit Costs 费用'!$F$36*'Unit Costs 费用'!$F$21*'Unit Costs 费用'!$B$15)</f>
        <v>403</v>
      </c>
      <c r="C8" s="6">
        <f>('Unit Costs 费用'!G33*'Unit Costs 费用'!$F$23*'Unit Costs 费用'!$B$15)+('Unit Costs 费用'!$F$36*'Unit Costs 费用'!$F$21*'Unit Costs 费用'!$B$15)</f>
        <v>143</v>
      </c>
      <c r="D8" s="6">
        <f>('Unit Costs 费用'!H33*'Unit Costs 费用'!$F$23*'Unit Costs 费用'!$B$15)+('Unit Costs 费用'!$F$36*'Unit Costs 费用'!$F$21*'Unit Costs 费用'!$B$15)</f>
        <v>143</v>
      </c>
    </row>
    <row r="9" ht="12.75">
      <c r="B9" s="2"/>
    </row>
    <row r="10" spans="1:4" ht="12.75">
      <c r="A10" s="50" t="s">
        <v>143</v>
      </c>
      <c r="B10" s="7" t="s">
        <v>13</v>
      </c>
      <c r="C10" s="7"/>
      <c r="D10" s="7" t="s">
        <v>141</v>
      </c>
    </row>
    <row r="11" spans="1:4" ht="12.75">
      <c r="A11" s="13" t="s">
        <v>142</v>
      </c>
      <c r="B11" s="9" t="s">
        <v>15</v>
      </c>
      <c r="C11" s="10" t="s">
        <v>16</v>
      </c>
      <c r="D11" s="10" t="s">
        <v>17</v>
      </c>
    </row>
    <row r="12" spans="1:4" ht="12.75">
      <c r="A12" s="25" t="s">
        <v>138</v>
      </c>
      <c r="B12" s="6">
        <f>'Unit Costs 费用'!F44*'Unit Costs 费用'!$B$23</f>
        <v>1800</v>
      </c>
      <c r="C12" s="6">
        <f>'Unit Costs 费用'!G44*'Unit Costs 费用'!$B$23</f>
        <v>540</v>
      </c>
      <c r="D12" s="6">
        <f>'Unit Costs 费用'!H44*'Unit Costs 费用'!$B$23</f>
        <v>540</v>
      </c>
    </row>
    <row r="13" spans="1:4" ht="12.75">
      <c r="A13" s="25" t="s">
        <v>139</v>
      </c>
      <c r="B13" s="6">
        <f>'Unit Costs 费用'!F45*'Unit Costs 费用'!$B$23</f>
        <v>1440</v>
      </c>
      <c r="C13" s="6">
        <f>'Unit Costs 费用'!G45*'Unit Costs 费用'!$B$23</f>
        <v>540</v>
      </c>
      <c r="D13" s="6">
        <f>'Unit Costs 费用'!H45*'Unit Costs 费用'!$B$23</f>
        <v>540</v>
      </c>
    </row>
    <row r="14" spans="1:4" ht="12.75">
      <c r="A14" s="25" t="s">
        <v>140</v>
      </c>
      <c r="B14" s="6">
        <f>'Unit Costs 费用'!F46*'Unit Costs 费用'!$B$23</f>
        <v>1260</v>
      </c>
      <c r="C14" s="6">
        <f>'Unit Costs 费用'!G46*'Unit Costs 费用'!$B$23</f>
        <v>540</v>
      </c>
      <c r="D14" s="6">
        <f>'Unit Costs 费用'!H46*'Unit Costs 费用'!$B$23</f>
        <v>540</v>
      </c>
    </row>
    <row r="15" spans="1:4" ht="12.75">
      <c r="A15" s="13" t="s">
        <v>144</v>
      </c>
      <c r="B15" s="225"/>
      <c r="C15" s="226"/>
      <c r="D15" s="227"/>
    </row>
    <row r="16" spans="1:4" ht="12.75">
      <c r="A16" s="25" t="s">
        <v>138</v>
      </c>
      <c r="B16" s="6">
        <f>IF((('Unit Costs 费用'!F44-1)*'Unit Costs 费用'!$B$19)&lt;0,0,(('Unit Costs 费用'!F44-1)*'Unit Costs 费用'!$B$19))</f>
        <v>1080</v>
      </c>
      <c r="C16" s="6">
        <f>IF((('Unit Costs 费用'!G44-1)*'Unit Costs 费用'!$B$19)&lt;0,0,(('Unit Costs 费用'!G44-1)*'Unit Costs 费用'!$B$19))</f>
        <v>240</v>
      </c>
      <c r="D16" s="6">
        <f>IF((('Unit Costs 费用'!H44-1)*'Unit Costs 费用'!$B$19)&lt;0,0,(('Unit Costs 费用'!H44-1)*'Unit Costs 费用'!$B$19))</f>
        <v>240</v>
      </c>
    </row>
    <row r="17" spans="1:4" ht="12.75">
      <c r="A17" s="25" t="s">
        <v>145</v>
      </c>
      <c r="B17" s="6">
        <f>IF((('Unit Costs 费用'!F45-1)*'Unit Costs 费用'!$B$19)&lt;0,0,(('Unit Costs 费用'!F45-1)*'Unit Costs 费用'!$B$19))</f>
        <v>840</v>
      </c>
      <c r="C17" s="6">
        <f>IF((('Unit Costs 费用'!G45-1)*'Unit Costs 费用'!$B$19)&lt;0,0,(('Unit Costs 费用'!G45-1)*'Unit Costs 费用'!$B$19))</f>
        <v>240</v>
      </c>
      <c r="D17" s="6">
        <f>IF((('Unit Costs 费用'!H45-1)*'Unit Costs 费用'!$B$19)&lt;0,0,(('Unit Costs 费用'!H45-1)*'Unit Costs 费用'!$B$19))</f>
        <v>240</v>
      </c>
    </row>
    <row r="18" spans="1:4" ht="12.75">
      <c r="A18" s="25" t="s">
        <v>146</v>
      </c>
      <c r="B18" s="6">
        <f>IF((('Unit Costs 费用'!F46-1)*'Unit Costs 费用'!$B$19)&lt;0,0,(('Unit Costs 费用'!F46-1)*'Unit Costs 费用'!$B$19))</f>
        <v>720</v>
      </c>
      <c r="C18" s="6">
        <f>IF((('Unit Costs 费用'!G46-1)*'Unit Costs 费用'!$B$19)&lt;0,0,(('Unit Costs 费用'!G46-1)*'Unit Costs 费用'!$B$19))</f>
        <v>240</v>
      </c>
      <c r="D18" s="6">
        <f>IF((('Unit Costs 费用'!H46-1)*'Unit Costs 费用'!$B$19)&lt;0,0,(('Unit Costs 费用'!H46-1)*'Unit Costs 费用'!$B$19))</f>
        <v>240</v>
      </c>
    </row>
    <row r="19" spans="1:4" ht="12.75">
      <c r="A19" s="5"/>
      <c r="B19" s="3"/>
      <c r="C19" s="3"/>
      <c r="D19" s="3"/>
    </row>
    <row r="20" spans="1:4" ht="12.75">
      <c r="A20" s="50" t="s">
        <v>149</v>
      </c>
      <c r="B20" s="7" t="s">
        <v>13</v>
      </c>
      <c r="C20" s="7"/>
      <c r="D20" s="7" t="s">
        <v>141</v>
      </c>
    </row>
    <row r="21" spans="1:4" ht="12.75">
      <c r="A21" s="50" t="s">
        <v>147</v>
      </c>
      <c r="B21" s="9" t="s">
        <v>15</v>
      </c>
      <c r="C21" s="10" t="s">
        <v>16</v>
      </c>
      <c r="D21" s="10" t="s">
        <v>17</v>
      </c>
    </row>
    <row r="22" spans="1:4" ht="12.75">
      <c r="A22" s="25" t="s">
        <v>138</v>
      </c>
      <c r="B22" s="6">
        <f>'Unit Costs 费用'!F31*'Unit Costs 费用'!$B$31</f>
        <v>7384</v>
      </c>
      <c r="C22" s="6">
        <f>'Unit Costs 费用'!G31*'Unit Costs 费用'!$B$31</f>
        <v>923</v>
      </c>
      <c r="D22" s="6">
        <f>'Unit Costs 费用'!H31*'Unit Costs 费用'!$B$31</f>
        <v>923</v>
      </c>
    </row>
    <row r="23" spans="1:4" ht="12.75">
      <c r="A23" s="25" t="s">
        <v>139</v>
      </c>
      <c r="B23" s="6">
        <f>'Unit Costs 费用'!F32*'Unit Costs 费用'!$B$31</f>
        <v>5538</v>
      </c>
      <c r="C23" s="6">
        <f>'Unit Costs 费用'!G32*'Unit Costs 费用'!$B$31</f>
        <v>923</v>
      </c>
      <c r="D23" s="6">
        <f>'Unit Costs 费用'!H32*'Unit Costs 费用'!$B$31</f>
        <v>923</v>
      </c>
    </row>
    <row r="24" spans="1:4" ht="12.75">
      <c r="A24" s="25" t="s">
        <v>140</v>
      </c>
      <c r="B24" s="6">
        <f>'Unit Costs 费用'!F33*'Unit Costs 费用'!$B$31</f>
        <v>4615</v>
      </c>
      <c r="C24" s="6">
        <f>'Unit Costs 费用'!G33*'Unit Costs 费用'!$B$31</f>
        <v>923</v>
      </c>
      <c r="D24" s="6">
        <f>'Unit Costs 费用'!H33*'Unit Costs 费用'!$B$31</f>
        <v>923</v>
      </c>
    </row>
    <row r="25" ht="12.75">
      <c r="B25" s="2"/>
    </row>
    <row r="26" spans="1:2" ht="12.75">
      <c r="A26" s="50" t="s">
        <v>148</v>
      </c>
      <c r="B26" s="6">
        <f>MAX('Aboveground C - Plots 地上生物量'!D46,' Soil C - Plots  土壤生物量'!D46)*'Unit Costs 费用'!B35</f>
        <v>540</v>
      </c>
    </row>
    <row r="27" ht="12.75">
      <c r="B27" s="2"/>
    </row>
    <row r="28" spans="1:2" ht="12.75">
      <c r="A28" s="50" t="s">
        <v>150</v>
      </c>
      <c r="B28" s="6">
        <f>('Aboveground C - Plots 地上生物量'!D46*'Unit Costs 费用'!B44)+(' Soil C - Plots  土壤生物量'!D46*'Unit Costs 费用'!B41)</f>
        <v>1520</v>
      </c>
    </row>
    <row r="29" ht="12.75">
      <c r="B29" s="2"/>
    </row>
    <row r="30" spans="1:4" ht="12.75">
      <c r="A30" s="50" t="s">
        <v>151</v>
      </c>
      <c r="B30" s="9" t="s">
        <v>15</v>
      </c>
      <c r="C30" s="10" t="s">
        <v>16</v>
      </c>
      <c r="D30" s="10" t="s">
        <v>17</v>
      </c>
    </row>
    <row r="31" spans="1:4" ht="12.75">
      <c r="A31" s="53" t="s">
        <v>152</v>
      </c>
      <c r="B31" s="6">
        <f>'Unit Costs 费用'!$B$47*10*'Unit Costs 费用'!F31</f>
        <v>1585.6</v>
      </c>
      <c r="C31" s="6">
        <f>'Unit Costs 费用'!$B$47*10*'Unit Costs 费用'!G31</f>
        <v>198.2</v>
      </c>
      <c r="D31" s="6">
        <f>'Unit Costs 费用'!$B$47*10*'Unit Costs 费用'!H31</f>
        <v>198.2</v>
      </c>
    </row>
    <row r="32" spans="1:4" ht="12.75">
      <c r="A32" s="53" t="s">
        <v>153</v>
      </c>
      <c r="B32" s="6">
        <f>'Unit Costs 费用'!$B$47*10*'Unit Costs 费用'!F32</f>
        <v>1189.1999999999998</v>
      </c>
      <c r="C32" s="6">
        <f>'Unit Costs 费用'!$B$47*10*'Unit Costs 费用'!G32</f>
        <v>198.2</v>
      </c>
      <c r="D32" s="6">
        <f>'Unit Costs 费用'!$B$47*10*'Unit Costs 费用'!H32</f>
        <v>198.2</v>
      </c>
    </row>
    <row r="33" spans="1:4" ht="12.75">
      <c r="A33" s="53" t="s">
        <v>154</v>
      </c>
      <c r="B33" s="6">
        <f>'Unit Costs 费用'!$B$47*10*'Unit Costs 费用'!F33</f>
        <v>991</v>
      </c>
      <c r="C33" s="6">
        <f>'Unit Costs 费用'!$B$47*10*'Unit Costs 费用'!G33</f>
        <v>198.2</v>
      </c>
      <c r="D33" s="6">
        <f>'Unit Costs 费用'!$B$47*10*'Unit Costs 费用'!H33</f>
        <v>198.2</v>
      </c>
    </row>
    <row r="34" ht="12.75">
      <c r="B34" s="2"/>
    </row>
    <row r="35" spans="1:2" ht="12.75">
      <c r="A35" s="50" t="s">
        <v>155</v>
      </c>
      <c r="B35" s="6">
        <f>'Unit Costs 费用'!B9</f>
        <v>2500</v>
      </c>
    </row>
    <row r="37" spans="1:5" ht="25.5">
      <c r="A37" s="16" t="s">
        <v>221</v>
      </c>
      <c r="B37" s="7"/>
      <c r="C37" s="7"/>
      <c r="D37" s="7"/>
      <c r="E37" s="39"/>
    </row>
    <row r="38" spans="1:4" ht="12.75">
      <c r="A38" s="25" t="s">
        <v>138</v>
      </c>
      <c r="B38" s="6">
        <f>B6+B12+B16+B22+B26+B28+B31+B35</f>
        <v>16799.6</v>
      </c>
      <c r="C38" s="6">
        <f>C6+C12+C16+C22+B26+B28+C31+B35</f>
        <v>6578.2</v>
      </c>
      <c r="D38" s="6">
        <f>D6+D12+D16+D22+B26+B28+D31+B35</f>
        <v>6578.2</v>
      </c>
    </row>
    <row r="39" spans="1:4" ht="12.75">
      <c r="A39" s="14" t="s">
        <v>156</v>
      </c>
      <c r="B39" s="15" t="e">
        <f>IF($B$26=0,0,(B38/'Aboveground C - Plots 地上生物量'!$B$26))</f>
        <v>#DIV/0!</v>
      </c>
      <c r="C39" s="15" t="e">
        <f>IF($B$26=0,0,(C38/'Aboveground C - Plots 地上生物量'!$B$26))</f>
        <v>#DIV/0!</v>
      </c>
      <c r="D39" s="15" t="e">
        <f>IF($B$26=0,0,(D38/'Aboveground C - Plots 地上生物量'!$B$26))</f>
        <v>#DIV/0!</v>
      </c>
    </row>
    <row r="40" spans="1:4" ht="12.75">
      <c r="A40" s="25" t="s">
        <v>139</v>
      </c>
      <c r="B40" s="6">
        <f>B7+B13+B17+B23+B26+B28+B32+B35</f>
        <v>13957.2</v>
      </c>
      <c r="C40" s="6">
        <f>C7+C13+C17+C23+B26+B28+C32+B35</f>
        <v>6591.2</v>
      </c>
      <c r="D40" s="6">
        <f>D7+D13+D17+D23+B26+B28+D32+B35</f>
        <v>6591.2</v>
      </c>
    </row>
    <row r="41" spans="1:4" ht="12.75">
      <c r="A41" s="14" t="s">
        <v>156</v>
      </c>
      <c r="B41" s="15" t="e">
        <f>IF($B$26=0,0,(B40/'Aboveground C - Plots 地上生物量'!$B$26))</f>
        <v>#DIV/0!</v>
      </c>
      <c r="C41" s="15" t="e">
        <f>IF($B$26=0,0,(C40/'Aboveground C - Plots 地上生物量'!$B$26))</f>
        <v>#DIV/0!</v>
      </c>
      <c r="D41" s="15" t="e">
        <f>IF($B$26=0,0,(D40/'Aboveground C - Plots 地上生物量'!$B$26))</f>
        <v>#DIV/0!</v>
      </c>
    </row>
    <row r="42" spans="1:4" ht="12.75">
      <c r="A42" s="25" t="s">
        <v>140</v>
      </c>
      <c r="B42" s="6">
        <f>B8+B14+B18+B24+B26+B28+B33+B35</f>
        <v>12549</v>
      </c>
      <c r="C42" s="6">
        <f>C8+C14+C18+C24+B26+B28+C33+B35</f>
        <v>6604.2</v>
      </c>
      <c r="D42" s="6">
        <f>D8+D14+D18+D24+B26+B28+D33+B35</f>
        <v>6604.2</v>
      </c>
    </row>
    <row r="43" spans="1:4" ht="12.75">
      <c r="A43" s="14" t="s">
        <v>156</v>
      </c>
      <c r="B43" s="15" t="e">
        <f>IF($B$26=0,0,(B42/'Aboveground C - Plots 地上生物量'!$B$26))</f>
        <v>#DIV/0!</v>
      </c>
      <c r="C43" s="15" t="e">
        <f>IF($B$26=0,0,(C42/'Aboveground C - Plots 地上生物量'!$B$26))</f>
        <v>#DIV/0!</v>
      </c>
      <c r="D43" s="15" t="e">
        <f>IF($B$26=0,0,(D42/'Aboveground C - Plots 地上生物量'!$B$26))</f>
        <v>#DIV/0!</v>
      </c>
    </row>
    <row r="45" spans="1:5" ht="25.5">
      <c r="A45" s="16" t="s">
        <v>222</v>
      </c>
      <c r="B45" s="7"/>
      <c r="C45" s="7"/>
      <c r="D45" s="7"/>
      <c r="E45" s="39"/>
    </row>
    <row r="46" spans="1:4" ht="12.75">
      <c r="A46" s="25" t="s">
        <v>157</v>
      </c>
      <c r="B46" s="6">
        <f>B38*(1+'Unit Costs 费用'!$B$4/100)</f>
        <v>18479.56</v>
      </c>
      <c r="C46" s="6">
        <f>C38*(1+'Unit Costs 费用'!$B$4/100)</f>
        <v>7236.02</v>
      </c>
      <c r="D46" s="6">
        <f>D38*(1+'Unit Costs 费用'!$B$4/100)</f>
        <v>7236.02</v>
      </c>
    </row>
    <row r="47" spans="1:4" ht="15">
      <c r="A47" s="14" t="s">
        <v>156</v>
      </c>
      <c r="B47" s="15" t="e">
        <f>IF($B$26=0,0,(B46/'Aboveground C - Plots 地上生物量'!$B$26))</f>
        <v>#DIV/0!</v>
      </c>
      <c r="C47" s="15" t="e">
        <f>IF($B$26=0,0,(C46/'Aboveground C - Plots 地上生物量'!$B$26))</f>
        <v>#DIV/0!</v>
      </c>
      <c r="D47" s="15" t="e">
        <f>IF($B$26=0,0,(D46/'Aboveground C - Plots 地上生物量'!$B$26))</f>
        <v>#DIV/0!</v>
      </c>
    </row>
    <row r="48" spans="1:4" ht="15">
      <c r="A48" s="25" t="s">
        <v>145</v>
      </c>
      <c r="B48" s="6">
        <f>B40*(1+'Unit Costs 费用'!$B$4/100)</f>
        <v>15352.920000000002</v>
      </c>
      <c r="C48" s="6">
        <f>C40*(1+'Unit Costs 费用'!$B$4/100)</f>
        <v>7250.320000000001</v>
      </c>
      <c r="D48" s="6">
        <f>D40*(1+'Unit Costs 费用'!$B$4/100)</f>
        <v>7250.320000000001</v>
      </c>
    </row>
    <row r="49" spans="1:4" ht="15">
      <c r="A49" s="14" t="s">
        <v>156</v>
      </c>
      <c r="B49" s="15" t="e">
        <f>IF($B$26=0,0,(B48/'Aboveground C - Plots 地上生物量'!$B$26))</f>
        <v>#DIV/0!</v>
      </c>
      <c r="C49" s="15" t="e">
        <f>IF($B$26=0,0,(C48/'Aboveground C - Plots 地上生物量'!$B$26))</f>
        <v>#DIV/0!</v>
      </c>
      <c r="D49" s="15" t="e">
        <f>IF($B$26=0,0,(D48/'Aboveground C - Plots 地上生物量'!$B$26))</f>
        <v>#DIV/0!</v>
      </c>
    </row>
    <row r="50" spans="1:4" ht="15">
      <c r="A50" s="25" t="s">
        <v>146</v>
      </c>
      <c r="B50" s="6">
        <f>B42*(1+'Unit Costs 费用'!$B$4/100)</f>
        <v>13803.900000000001</v>
      </c>
      <c r="C50" s="6">
        <f>C42*(1+'Unit Costs 费用'!$B$4/100)</f>
        <v>7264.620000000001</v>
      </c>
      <c r="D50" s="6">
        <f>D42*(1+'Unit Costs 费用'!$B$4/100)</f>
        <v>7264.620000000001</v>
      </c>
    </row>
    <row r="51" spans="1:4" ht="15">
      <c r="A51" s="14" t="s">
        <v>156</v>
      </c>
      <c r="B51" s="15" t="e">
        <f>IF($B$26=0,0,(B50/'Aboveground C - Plots 地上生物量'!$B$26))</f>
        <v>#DIV/0!</v>
      </c>
      <c r="C51" s="15" t="e">
        <f>IF($B$26=0,0,(C50/'Aboveground C - Plots 地上生物量'!$B$26))</f>
        <v>#DIV/0!</v>
      </c>
      <c r="D51" s="15" t="e">
        <f>IF($B$26=0,0,(D50/'Aboveground C - Plots 地上生物量'!$B$26))</f>
        <v>#DIV/0!</v>
      </c>
    </row>
    <row r="53" ht="12.75">
      <c r="D53" s="36" t="s">
        <v>32</v>
      </c>
    </row>
    <row r="54" ht="15">
      <c r="D54" s="39" t="s">
        <v>158</v>
      </c>
    </row>
  </sheetData>
  <sheetProtection password="DDAD" sheet="1" objects="1" scenarios="1" selectLockedCells="1"/>
  <mergeCells count="2">
    <mergeCell ref="A2:D2"/>
    <mergeCell ref="B15:D15"/>
  </mergeCells>
  <hyperlinks>
    <hyperlink ref="D53" location="'PV Cost over time'!A1" display="Go To Next"/>
  </hyperlinks>
  <printOptions gridLines="1"/>
  <pageMargins left="0.75" right="0.75" top="1" bottom="1" header="0.5" footer="0.5"/>
  <pageSetup horizontalDpi="600" verticalDpi="600" orientation="portrait" r:id="rId3"/>
  <ignoredErrors>
    <ignoredError sqref="B40:D51"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Sian Mooney</dc:creator>
  <cp:keywords/>
  <dc:description/>
  <cp:lastModifiedBy>Lana Pyburn</cp:lastModifiedBy>
  <cp:lastPrinted>2006-04-05T17:52:06Z</cp:lastPrinted>
  <dcterms:created xsi:type="dcterms:W3CDTF">2001-06-04T20:21:05Z</dcterms:created>
  <dcterms:modified xsi:type="dcterms:W3CDTF">2006-04-06T13:12:12Z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